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C:\Users\Dell Precision 7750\Desktop\Gia-Lai-2026\"/>
    </mc:Choice>
  </mc:AlternateContent>
  <xr:revisionPtr revIDLastSave="0" documentId="13_ncr:1_{304114F0-B786-4F9E-8CE8-B5D6715BAF5D}" xr6:coauthVersionLast="47" xr6:coauthVersionMax="47" xr10:uidLastSave="{00000000-0000-0000-0000-000000000000}"/>
  <bookViews>
    <workbookView xWindow="-120" yWindow="-120" windowWidth="29040" windowHeight="15720" tabRatio="699" firstSheet="1" activeTab="10" xr2:uid="{00000000-000D-0000-FFFF-FFFF00000000}"/>
  </bookViews>
  <sheets>
    <sheet name="SGV" sheetId="54" state="veryHidden" r:id="rId1"/>
    <sheet name="Gia_Dcu-Tbi-Vlieu" sheetId="46" r:id="rId2"/>
    <sheet name="Chung-thu" sheetId="55" state="hidden" r:id="rId3"/>
    <sheet name="L_CBac" sheetId="26" r:id="rId4"/>
    <sheet name="L_CViec" sheetId="39" r:id="rId5"/>
    <sheet name="NCong" sheetId="40" r:id="rId6"/>
    <sheet name="Dcu" sheetId="21" r:id="rId7"/>
    <sheet name="Tbi" sheetId="22" r:id="rId8"/>
    <sheet name="VLieu" sheetId="45" r:id="rId9"/>
    <sheet name="DGSP_ChiTiet" sheetId="17" r:id="rId10"/>
    <sheet name="DGSP_RutGon" sheetId="48" r:id="rId11"/>
    <sheet name="So-sanh" sheetId="49" state="hidden" r:id="rId12"/>
    <sheet name="NCong (In 1)" sheetId="50" state="hidden" r:id="rId13"/>
    <sheet name="NCong (In 2)" sheetId="51" state="hidden" r:id="rId14"/>
    <sheet name="DGSP_ChiTiet (in)" sheetId="52" state="hidden" r:id="rId15"/>
    <sheet name="DGSP SS VỚI 34 " sheetId="53" state="hidden" r:id="rId16"/>
  </sheets>
  <externalReferences>
    <externalReference r:id="rId17"/>
    <externalReference r:id="rId18"/>
    <externalReference r:id="rId19"/>
  </externalReferences>
  <definedNames>
    <definedName name="_Fill" localSheetId="11" hidden="1">#REF!</definedName>
    <definedName name="_Fill" hidden="1">#REF!</definedName>
    <definedName name="G0.7_Total" localSheetId="11">#REF!</definedName>
    <definedName name="G0.7_Total">#REF!</definedName>
    <definedName name="HHTON" localSheetId="11">#REF!</definedName>
    <definedName name="HHTON">#REF!</definedName>
    <definedName name="_xlnm.Print_Area" localSheetId="9">DGSP_ChiTiet!$A$1:$AJ$84</definedName>
    <definedName name="_xlnm.Print_Area" localSheetId="10">DGSP_RutGon!$A$1:$N$53</definedName>
    <definedName name="_xlnm.Print_Area" localSheetId="5">NCong!$A$1:$S$540</definedName>
    <definedName name="_xlnm.Print_Area" localSheetId="7">Tbi!$A$1:$I$173</definedName>
    <definedName name="_xlnm.Print_Area" localSheetId="8">VLieu!$A$1:$J$30</definedName>
    <definedName name="_xlnm.Print_Titles" localSheetId="15">'DGSP SS VỚI 34 '!$A:$D,'DGSP SS VỚI 34 '!$4:$6</definedName>
    <definedName name="_xlnm.Print_Titles" localSheetId="9">DGSP_ChiTiet!$B:$E,DGSP_ChiTiet!$4:$6</definedName>
    <definedName name="_xlnm.Print_Titles" localSheetId="14">'DGSP_ChiTiet (in)'!$A:$D,'DGSP_ChiTiet (in)'!$2:$4</definedName>
    <definedName name="_xlnm.Print_Titles" localSheetId="10">DGSP_RutGon!$A:$D,DGSP_RutGon!$4:$6</definedName>
    <definedName name="_xlnm.Print_Titles" localSheetId="3">L_CBac!$3:$6</definedName>
    <definedName name="_xlnm.Print_Titles" localSheetId="5">NCong!$A:$F</definedName>
    <definedName name="_xlnm.Print_Titles" localSheetId="12">'NCong (In 1)'!$A:$F,'NCong (In 1)'!$3:$4</definedName>
    <definedName name="_xlnm.Print_Titles" localSheetId="13">'NCong (In 2)'!$A:$F,'NCong (In 2)'!$3:$4</definedName>
    <definedName name="_xlnm.Print_Titles" localSheetId="7">Tbi!$3:$3</definedName>
    <definedName name="TG" localSheetId="11">#REF!</definedName>
    <definedName name="TG">#REF!</definedName>
  </definedNames>
  <calcPr calcId="181029"/>
</workbook>
</file>

<file path=xl/calcChain.xml><?xml version="1.0" encoding="utf-8"?>
<calcChain xmlns="http://schemas.openxmlformats.org/spreadsheetml/2006/main">
  <c r="I6" i="40" l="1"/>
  <c r="J70" i="26"/>
  <c r="J72" i="26"/>
  <c r="J73" i="26"/>
  <c r="J74" i="26"/>
  <c r="J75" i="26"/>
  <c r="J71" i="26"/>
  <c r="I74" i="26"/>
  <c r="G289" i="40" l="1"/>
  <c r="G290" i="40"/>
  <c r="G283" i="40"/>
  <c r="G284" i="40"/>
  <c r="G285" i="40"/>
  <c r="G282" i="40"/>
  <c r="G85" i="40"/>
  <c r="G84" i="40"/>
  <c r="G78" i="40"/>
  <c r="G79" i="40"/>
  <c r="G80" i="40"/>
  <c r="G77" i="40"/>
  <c r="B85" i="40"/>
  <c r="D168" i="45"/>
  <c r="J168" i="45" s="1"/>
  <c r="D147" i="45"/>
  <c r="I147" i="45" s="1"/>
  <c r="D125" i="45"/>
  <c r="J125" i="45" s="1"/>
  <c r="D105" i="45"/>
  <c r="I105" i="45" s="1"/>
  <c r="D41" i="45"/>
  <c r="I41" i="45" s="1"/>
  <c r="D12" i="45"/>
  <c r="H12" i="45" s="1"/>
  <c r="D60" i="45"/>
  <c r="H60" i="45" s="1"/>
  <c r="D79" i="45"/>
  <c r="H79" i="45" s="1"/>
  <c r="J60" i="45" l="1"/>
  <c r="D62" i="46"/>
  <c r="D61" i="46"/>
  <c r="D60" i="46"/>
  <c r="D59" i="46"/>
  <c r="D56" i="46"/>
  <c r="D55" i="46"/>
  <c r="D53" i="46"/>
  <c r="D54" i="46"/>
  <c r="D48" i="46"/>
  <c r="D47" i="46"/>
  <c r="D46" i="46"/>
  <c r="D45" i="46"/>
  <c r="D44" i="46"/>
  <c r="D40" i="46"/>
  <c r="F35" i="46"/>
  <c r="F33" i="46"/>
  <c r="F76" i="22" s="1"/>
  <c r="F32" i="46"/>
  <c r="F31" i="46"/>
  <c r="F30" i="46"/>
  <c r="F28" i="46"/>
  <c r="F27" i="46"/>
  <c r="F26" i="46"/>
  <c r="E21" i="46"/>
  <c r="E9" i="46"/>
  <c r="D41" i="46"/>
  <c r="D42" i="46"/>
  <c r="D43" i="46"/>
  <c r="D49" i="46"/>
  <c r="D50" i="46"/>
  <c r="D51" i="46"/>
  <c r="D52" i="46"/>
  <c r="D57" i="46"/>
  <c r="D58" i="46"/>
  <c r="F29" i="46"/>
  <c r="F34" i="46"/>
  <c r="E6" i="46"/>
  <c r="E7" i="46"/>
  <c r="E14" i="46"/>
  <c r="E15" i="46"/>
  <c r="E17" i="46"/>
  <c r="F176" i="55"/>
  <c r="G176" i="55" s="1"/>
  <c r="H176" i="55" s="1"/>
  <c r="F175" i="55"/>
  <c r="G175" i="55" s="1"/>
  <c r="H175" i="55" s="1"/>
  <c r="F174" i="55"/>
  <c r="G174" i="55" s="1"/>
  <c r="H174" i="55" s="1"/>
  <c r="H173" i="55"/>
  <c r="F172" i="55"/>
  <c r="G172" i="55" s="1"/>
  <c r="H172" i="55" s="1"/>
  <c r="F171" i="55"/>
  <c r="G171" i="55" s="1"/>
  <c r="H171" i="55" s="1"/>
  <c r="G170" i="55"/>
  <c r="H170" i="55" s="1"/>
  <c r="F170" i="55"/>
  <c r="F169" i="55"/>
  <c r="G169" i="55" s="1"/>
  <c r="H169" i="55" s="1"/>
  <c r="F168" i="55"/>
  <c r="G168" i="55" s="1"/>
  <c r="H168" i="55" s="1"/>
  <c r="F167" i="55"/>
  <c r="G167" i="55" s="1"/>
  <c r="H167" i="55" s="1"/>
  <c r="G166" i="55"/>
  <c r="H166" i="55" s="1"/>
  <c r="F166" i="55"/>
  <c r="F165" i="55"/>
  <c r="G165" i="55" s="1"/>
  <c r="H165" i="55" s="1"/>
  <c r="F164" i="55"/>
  <c r="G164" i="55" s="1"/>
  <c r="H164" i="55" s="1"/>
  <c r="F163" i="55"/>
  <c r="G163" i="55" s="1"/>
  <c r="H163" i="55" s="1"/>
  <c r="F162" i="55"/>
  <c r="G162" i="55" s="1"/>
  <c r="H162" i="55" s="1"/>
  <c r="F161" i="55"/>
  <c r="G161" i="55" s="1"/>
  <c r="H161" i="55" s="1"/>
  <c r="F160" i="55"/>
  <c r="G160" i="55" s="1"/>
  <c r="H160" i="55" s="1"/>
  <c r="F159" i="55"/>
  <c r="G159" i="55" s="1"/>
  <c r="H159" i="55" s="1"/>
  <c r="G158" i="55"/>
  <c r="H158" i="55" s="1"/>
  <c r="F158" i="55"/>
  <c r="F157" i="55"/>
  <c r="G157" i="55" s="1"/>
  <c r="H157" i="55" s="1"/>
  <c r="F156" i="55"/>
  <c r="G156" i="55" s="1"/>
  <c r="H156" i="55" s="1"/>
  <c r="F155" i="55"/>
  <c r="G155" i="55" s="1"/>
  <c r="H155" i="55" s="1"/>
  <c r="F154" i="55"/>
  <c r="G154" i="55" s="1"/>
  <c r="H154" i="55" s="1"/>
  <c r="F153" i="55"/>
  <c r="G153" i="55" s="1"/>
  <c r="H153" i="55" s="1"/>
  <c r="F152" i="55"/>
  <c r="G152" i="55" s="1"/>
  <c r="H152" i="55" s="1"/>
  <c r="F151" i="55"/>
  <c r="G151" i="55" s="1"/>
  <c r="H151" i="55" s="1"/>
  <c r="F150" i="55"/>
  <c r="G150" i="55" s="1"/>
  <c r="H150" i="55" s="1"/>
  <c r="F149" i="55"/>
  <c r="G149" i="55" s="1"/>
  <c r="H149" i="55" s="1"/>
  <c r="F148" i="55"/>
  <c r="G148" i="55" s="1"/>
  <c r="H148" i="55" s="1"/>
  <c r="F147" i="55"/>
  <c r="G147" i="55" s="1"/>
  <c r="H147" i="55" s="1"/>
  <c r="F146" i="55"/>
  <c r="G146" i="55" s="1"/>
  <c r="H146" i="55" s="1"/>
  <c r="F145" i="55"/>
  <c r="G145" i="55" s="1"/>
  <c r="H145" i="55" s="1"/>
  <c r="F144" i="55"/>
  <c r="G144" i="55" s="1"/>
  <c r="H144" i="55" s="1"/>
  <c r="F143" i="55"/>
  <c r="G143" i="55" s="1"/>
  <c r="H143" i="55" s="1"/>
  <c r="G142" i="55"/>
  <c r="H142" i="55" s="1"/>
  <c r="F142" i="55"/>
  <c r="F141" i="55"/>
  <c r="G141" i="55" s="1"/>
  <c r="H141" i="55" s="1"/>
  <c r="G140" i="55"/>
  <c r="H140" i="55" s="1"/>
  <c r="F140" i="55"/>
  <c r="F139" i="55"/>
  <c r="G139" i="55" s="1"/>
  <c r="H139" i="55" s="1"/>
  <c r="F138" i="55"/>
  <c r="G138" i="55" s="1"/>
  <c r="H138" i="55" s="1"/>
  <c r="F137" i="55"/>
  <c r="G137" i="55" s="1"/>
  <c r="H137" i="55" s="1"/>
  <c r="H136" i="55"/>
  <c r="G136" i="55"/>
  <c r="F136" i="55"/>
  <c r="F135" i="55"/>
  <c r="G135" i="55" s="1"/>
  <c r="H135" i="55" s="1"/>
  <c r="F134" i="55"/>
  <c r="G134" i="55" s="1"/>
  <c r="H134" i="55" s="1"/>
  <c r="F133" i="55"/>
  <c r="G133" i="55" s="1"/>
  <c r="H133" i="55" s="1"/>
  <c r="G132" i="55"/>
  <c r="H132" i="55" s="1"/>
  <c r="F132" i="55"/>
  <c r="F131" i="55"/>
  <c r="G131" i="55" s="1"/>
  <c r="H131" i="55" s="1"/>
  <c r="F130" i="55"/>
  <c r="G130" i="55" s="1"/>
  <c r="H130" i="55" s="1"/>
  <c r="F129" i="55"/>
  <c r="G129" i="55" s="1"/>
  <c r="H129" i="55" s="1"/>
  <c r="G128" i="55"/>
  <c r="H128" i="55" s="1"/>
  <c r="F128" i="55"/>
  <c r="F127" i="55"/>
  <c r="G127" i="55" s="1"/>
  <c r="H127" i="55" s="1"/>
  <c r="G126" i="55"/>
  <c r="H126" i="55" s="1"/>
  <c r="F126" i="55"/>
  <c r="F125" i="55"/>
  <c r="G125" i="55" s="1"/>
  <c r="H125" i="55" s="1"/>
  <c r="F124" i="55"/>
  <c r="G124" i="55" s="1"/>
  <c r="H124" i="55" s="1"/>
  <c r="F123" i="55"/>
  <c r="G123" i="55" s="1"/>
  <c r="H123" i="55" s="1"/>
  <c r="G122" i="55"/>
  <c r="H122" i="55" s="1"/>
  <c r="F122" i="55"/>
  <c r="F121" i="55"/>
  <c r="G121" i="55" s="1"/>
  <c r="H121" i="55" s="1"/>
  <c r="F120" i="55"/>
  <c r="G120" i="55" s="1"/>
  <c r="H120" i="55" s="1"/>
  <c r="E119" i="55"/>
  <c r="F118" i="55"/>
  <c r="G118" i="55" s="1"/>
  <c r="H118" i="55" s="1"/>
  <c r="F117" i="55"/>
  <c r="G117" i="55" s="1"/>
  <c r="H117" i="55" s="1"/>
  <c r="F116" i="55"/>
  <c r="G116" i="55" s="1"/>
  <c r="H116" i="55" s="1"/>
  <c r="F115" i="55"/>
  <c r="G115" i="55" s="1"/>
  <c r="H115" i="55" s="1"/>
  <c r="F114" i="55"/>
  <c r="G114" i="55" s="1"/>
  <c r="H114" i="55" s="1"/>
  <c r="F113" i="55"/>
  <c r="G113" i="55" s="1"/>
  <c r="H113" i="55" s="1"/>
  <c r="H112" i="55"/>
  <c r="H111" i="55"/>
  <c r="F110" i="55"/>
  <c r="G110" i="55" s="1"/>
  <c r="H110" i="55" s="1"/>
  <c r="F109" i="55"/>
  <c r="G109" i="55" s="1"/>
  <c r="H109" i="55" s="1"/>
  <c r="H108" i="55"/>
  <c r="H107" i="55"/>
  <c r="H106" i="55"/>
  <c r="F105" i="55"/>
  <c r="G105" i="55" s="1"/>
  <c r="H105" i="55" s="1"/>
  <c r="E104" i="55"/>
  <c r="E103" i="55"/>
  <c r="H102" i="55"/>
  <c r="H101" i="55"/>
  <c r="H100" i="55"/>
  <c r="F99" i="55"/>
  <c r="G99" i="55" s="1"/>
  <c r="H99" i="55" s="1"/>
  <c r="H98" i="55"/>
  <c r="H97" i="55"/>
  <c r="H96" i="55"/>
  <c r="H95" i="55"/>
  <c r="H94" i="55"/>
  <c r="H93" i="55"/>
  <c r="H92" i="55"/>
  <c r="H91" i="55"/>
  <c r="H90" i="55"/>
  <c r="H89" i="55"/>
  <c r="H88" i="55"/>
  <c r="H87" i="55"/>
  <c r="H86" i="55"/>
  <c r="H85" i="55"/>
  <c r="H84" i="55"/>
  <c r="H83" i="55"/>
  <c r="H82" i="55"/>
  <c r="H81" i="55"/>
  <c r="H80" i="55"/>
  <c r="H79" i="55"/>
  <c r="J78" i="55"/>
  <c r="E78" i="55"/>
  <c r="J77" i="55"/>
  <c r="E77" i="55"/>
  <c r="J76" i="55"/>
  <c r="E76" i="55"/>
  <c r="J75" i="55"/>
  <c r="E75" i="55"/>
  <c r="F75" i="55" s="1"/>
  <c r="G75" i="55" s="1"/>
  <c r="H75" i="55" s="1"/>
  <c r="J74" i="55"/>
  <c r="E74" i="55"/>
  <c r="J73" i="55"/>
  <c r="E73" i="55"/>
  <c r="J72" i="55"/>
  <c r="F72" i="55"/>
  <c r="G72" i="55" s="1"/>
  <c r="H72" i="55" s="1"/>
  <c r="J71" i="55"/>
  <c r="E71" i="55"/>
  <c r="J70" i="55"/>
  <c r="F70" i="55"/>
  <c r="G70" i="55" s="1"/>
  <c r="H70" i="55" s="1"/>
  <c r="J69" i="55"/>
  <c r="E69" i="55"/>
  <c r="J68" i="55"/>
  <c r="E18" i="46" s="1"/>
  <c r="G68" i="55"/>
  <c r="H68" i="55" s="1"/>
  <c r="F68" i="55"/>
  <c r="J67" i="55"/>
  <c r="E13" i="46" s="1"/>
  <c r="G67" i="55"/>
  <c r="H67" i="55" s="1"/>
  <c r="F67" i="55"/>
  <c r="J66" i="55"/>
  <c r="E12" i="46" s="1"/>
  <c r="F66" i="55"/>
  <c r="G66" i="55" s="1"/>
  <c r="H66" i="55" s="1"/>
  <c r="J65" i="55"/>
  <c r="E11" i="46" s="1"/>
  <c r="F65" i="55"/>
  <c r="G65" i="55" s="1"/>
  <c r="H65" i="55" s="1"/>
  <c r="J64" i="55"/>
  <c r="F64" i="55"/>
  <c r="G64" i="55" s="1"/>
  <c r="H64" i="55" s="1"/>
  <c r="J63" i="55"/>
  <c r="F63" i="55"/>
  <c r="G63" i="55" s="1"/>
  <c r="H63" i="55" s="1"/>
  <c r="J62" i="55"/>
  <c r="G62" i="55"/>
  <c r="H62" i="55" s="1"/>
  <c r="F62" i="55"/>
  <c r="J61" i="55"/>
  <c r="F61" i="55"/>
  <c r="G61" i="55" s="1"/>
  <c r="H61" i="55" s="1"/>
  <c r="J60" i="55"/>
  <c r="F60" i="55"/>
  <c r="G60" i="55" s="1"/>
  <c r="H60" i="55" s="1"/>
  <c r="J59" i="55"/>
  <c r="G59" i="55"/>
  <c r="H59" i="55" s="1"/>
  <c r="F59" i="55"/>
  <c r="J58" i="55"/>
  <c r="G58" i="55"/>
  <c r="H58" i="55" s="1"/>
  <c r="F58" i="55"/>
  <c r="J57" i="55"/>
  <c r="F57" i="55"/>
  <c r="G57" i="55" s="1"/>
  <c r="H57" i="55" s="1"/>
  <c r="J56" i="55"/>
  <c r="F56" i="55"/>
  <c r="G56" i="55" s="1"/>
  <c r="H56" i="55" s="1"/>
  <c r="J55" i="55"/>
  <c r="F55" i="55"/>
  <c r="G55" i="55" s="1"/>
  <c r="H55" i="55" s="1"/>
  <c r="J54" i="55"/>
  <c r="F54" i="55"/>
  <c r="G54" i="55" s="1"/>
  <c r="H54" i="55" s="1"/>
  <c r="J53" i="55"/>
  <c r="G53" i="55"/>
  <c r="H53" i="55" s="1"/>
  <c r="F53" i="55"/>
  <c r="J52" i="55"/>
  <c r="F52" i="55"/>
  <c r="G52" i="55" s="1"/>
  <c r="H52" i="55" s="1"/>
  <c r="J51" i="55"/>
  <c r="F51" i="55"/>
  <c r="G51" i="55" s="1"/>
  <c r="H51" i="55" s="1"/>
  <c r="J50" i="55"/>
  <c r="G50" i="55"/>
  <c r="H50" i="55" s="1"/>
  <c r="F50" i="55"/>
  <c r="J49" i="55"/>
  <c r="G49" i="55"/>
  <c r="H49" i="55" s="1"/>
  <c r="F49" i="55"/>
  <c r="J48" i="55"/>
  <c r="F48" i="55"/>
  <c r="G48" i="55" s="1"/>
  <c r="H48" i="55" s="1"/>
  <c r="F47" i="55"/>
  <c r="G47" i="55" s="1"/>
  <c r="H47" i="55" s="1"/>
  <c r="F46" i="55"/>
  <c r="G46" i="55" s="1"/>
  <c r="H46" i="55" s="1"/>
  <c r="H45" i="55"/>
  <c r="G45" i="55"/>
  <c r="F45" i="55"/>
  <c r="J44" i="55"/>
  <c r="F44" i="55"/>
  <c r="G44" i="55" s="1"/>
  <c r="H44" i="55" s="1"/>
  <c r="J43" i="55"/>
  <c r="E16" i="46" s="1"/>
  <c r="F43" i="55"/>
  <c r="G43" i="55" s="1"/>
  <c r="H43" i="55" s="1"/>
  <c r="J42" i="55"/>
  <c r="F42" i="55"/>
  <c r="G42" i="55" s="1"/>
  <c r="H42" i="55" s="1"/>
  <c r="J41" i="55"/>
  <c r="G41" i="55"/>
  <c r="H41" i="55" s="1"/>
  <c r="F41" i="55"/>
  <c r="J40" i="55"/>
  <c r="F40" i="55"/>
  <c r="G40" i="55" s="1"/>
  <c r="H40" i="55" s="1"/>
  <c r="J39" i="55"/>
  <c r="H39" i="55"/>
  <c r="G39" i="55"/>
  <c r="F39" i="55"/>
  <c r="J38" i="55"/>
  <c r="F38" i="55"/>
  <c r="G38" i="55" s="1"/>
  <c r="H38" i="55" s="1"/>
  <c r="J37" i="55"/>
  <c r="F37" i="55"/>
  <c r="G37" i="55" s="1"/>
  <c r="H37" i="55" s="1"/>
  <c r="J36" i="55"/>
  <c r="F36" i="55"/>
  <c r="G36" i="55" s="1"/>
  <c r="H36" i="55" s="1"/>
  <c r="J35" i="55"/>
  <c r="G35" i="55"/>
  <c r="H35" i="55" s="1"/>
  <c r="F35" i="55"/>
  <c r="E34" i="55"/>
  <c r="J33" i="55"/>
  <c r="E33" i="55"/>
  <c r="J32" i="55"/>
  <c r="F32" i="55"/>
  <c r="G32" i="55" s="1"/>
  <c r="H32" i="55" s="1"/>
  <c r="J31" i="55"/>
  <c r="F31" i="55"/>
  <c r="G31" i="55" s="1"/>
  <c r="H31" i="55" s="1"/>
  <c r="J30" i="55"/>
  <c r="F30" i="55"/>
  <c r="G30" i="55" s="1"/>
  <c r="H30" i="55" s="1"/>
  <c r="J29" i="55"/>
  <c r="F29" i="55"/>
  <c r="G29" i="55" s="1"/>
  <c r="H29" i="55" s="1"/>
  <c r="J28" i="55"/>
  <c r="F28" i="55"/>
  <c r="G28" i="55" s="1"/>
  <c r="H28" i="55" s="1"/>
  <c r="J27" i="55"/>
  <c r="E27" i="55"/>
  <c r="J26" i="55"/>
  <c r="F26" i="55"/>
  <c r="G26" i="55" s="1"/>
  <c r="H26" i="55" s="1"/>
  <c r="J25" i="55"/>
  <c r="E25" i="55"/>
  <c r="J24" i="55"/>
  <c r="F24" i="55"/>
  <c r="G24" i="55" s="1"/>
  <c r="H24" i="55" s="1"/>
  <c r="J23" i="55"/>
  <c r="E23" i="55"/>
  <c r="J22" i="55"/>
  <c r="G22" i="55"/>
  <c r="H22" i="55" s="1"/>
  <c r="F22" i="55"/>
  <c r="J21" i="55"/>
  <c r="E19" i="46" s="1"/>
  <c r="G21" i="55"/>
  <c r="H21" i="55" s="1"/>
  <c r="F21" i="55"/>
  <c r="J20" i="55"/>
  <c r="E20" i="55"/>
  <c r="F20" i="55" s="1"/>
  <c r="J19" i="55"/>
  <c r="F19" i="55"/>
  <c r="G19" i="55" s="1"/>
  <c r="H19" i="55" s="1"/>
  <c r="J18" i="55"/>
  <c r="E10" i="46" s="1"/>
  <c r="F18" i="55"/>
  <c r="G18" i="55" s="1"/>
  <c r="H18" i="55" s="1"/>
  <c r="J17" i="55"/>
  <c r="F17" i="55"/>
  <c r="G17" i="55" s="1"/>
  <c r="H17" i="55" s="1"/>
  <c r="J16" i="55"/>
  <c r="F16" i="55"/>
  <c r="G16" i="55" s="1"/>
  <c r="H16" i="55" s="1"/>
  <c r="J15" i="55"/>
  <c r="E15" i="55"/>
  <c r="F14" i="55"/>
  <c r="G14" i="55" s="1"/>
  <c r="H14" i="55" s="1"/>
  <c r="J13" i="55"/>
  <c r="E13" i="55"/>
  <c r="J12" i="55"/>
  <c r="E5" i="46" s="1"/>
  <c r="F12" i="55"/>
  <c r="G12" i="55" s="1"/>
  <c r="H12" i="55" s="1"/>
  <c r="J11" i="55"/>
  <c r="E11" i="55"/>
  <c r="F11" i="55" s="1"/>
  <c r="J10" i="55"/>
  <c r="E20" i="46" s="1"/>
  <c r="F10" i="55"/>
  <c r="G10" i="55" s="1"/>
  <c r="H10" i="55" s="1"/>
  <c r="J9" i="55"/>
  <c r="F9" i="55"/>
  <c r="G9" i="55" s="1"/>
  <c r="H9" i="55" s="1"/>
  <c r="J8" i="55"/>
  <c r="E8" i="55"/>
  <c r="F8" i="55" s="1"/>
  <c r="G8" i="55" s="1"/>
  <c r="H8" i="55" s="1"/>
  <c r="J7" i="55"/>
  <c r="F7" i="55"/>
  <c r="G7" i="55" s="1"/>
  <c r="H7" i="55" s="1"/>
  <c r="J6" i="55"/>
  <c r="E8" i="46" s="1"/>
  <c r="F6" i="55"/>
  <c r="G6" i="55" s="1"/>
  <c r="H6" i="55" s="1"/>
  <c r="J5" i="55"/>
  <c r="F5" i="55"/>
  <c r="G5" i="55" s="1"/>
  <c r="H5" i="55" s="1"/>
  <c r="J4" i="55"/>
  <c r="E4" i="55"/>
  <c r="F4" i="55" s="1"/>
  <c r="J3" i="55"/>
  <c r="F3" i="55"/>
  <c r="G3" i="55" s="1"/>
  <c r="H3" i="55" s="1"/>
  <c r="I33" i="45"/>
  <c r="D53" i="22"/>
  <c r="D54" i="22"/>
  <c r="D55" i="22"/>
  <c r="D56" i="22"/>
  <c r="D57" i="22"/>
  <c r="D58" i="22"/>
  <c r="D52" i="22"/>
  <c r="B53" i="22"/>
  <c r="B54" i="22"/>
  <c r="B55" i="22"/>
  <c r="B56" i="22"/>
  <c r="B57" i="22"/>
  <c r="B58" i="22"/>
  <c r="B52" i="22"/>
  <c r="G4" i="55" l="1"/>
  <c r="H4" i="55" s="1"/>
  <c r="F74" i="55"/>
  <c r="G74" i="55" s="1"/>
  <c r="H74" i="55" s="1"/>
  <c r="F103" i="55"/>
  <c r="G103" i="55" s="1"/>
  <c r="H103" i="55" s="1"/>
  <c r="J177" i="55"/>
  <c r="F25" i="55"/>
  <c r="G25" i="55" s="1"/>
  <c r="H25" i="55" s="1"/>
  <c r="G104" i="55"/>
  <c r="H104" i="55" s="1"/>
  <c r="F69" i="55"/>
  <c r="G69" i="55" s="1"/>
  <c r="H69" i="55" s="1"/>
  <c r="G11" i="55"/>
  <c r="H11" i="55" s="1"/>
  <c r="F13" i="55"/>
  <c r="G13" i="55" s="1"/>
  <c r="H13" i="55" s="1"/>
  <c r="F27" i="55"/>
  <c r="G27" i="55" s="1"/>
  <c r="H27" i="55" s="1"/>
  <c r="F33" i="55"/>
  <c r="G33" i="55" s="1"/>
  <c r="H33" i="55" s="1"/>
  <c r="F77" i="55"/>
  <c r="G77" i="55" s="1"/>
  <c r="H77" i="55" s="1"/>
  <c r="F104" i="55"/>
  <c r="F119" i="55"/>
  <c r="G119" i="55" s="1"/>
  <c r="H119" i="55" s="1"/>
  <c r="F73" i="55"/>
  <c r="G73" i="55" s="1"/>
  <c r="H73" i="55" s="1"/>
  <c r="G20" i="55"/>
  <c r="H20" i="55" s="1"/>
  <c r="F23" i="55"/>
  <c r="G23" i="55" s="1"/>
  <c r="H23" i="55" s="1"/>
  <c r="F34" i="55"/>
  <c r="G34" i="55" s="1"/>
  <c r="H34" i="55" s="1"/>
  <c r="F78" i="55"/>
  <c r="G78" i="55" s="1"/>
  <c r="H78" i="55" s="1"/>
  <c r="F15" i="55"/>
  <c r="G15" i="55" s="1"/>
  <c r="H15" i="55" s="1"/>
  <c r="F71" i="55"/>
  <c r="G71" i="55" s="1"/>
  <c r="H71" i="55" s="1"/>
  <c r="F76" i="55"/>
  <c r="G76" i="55" s="1"/>
  <c r="H76" i="55" s="1"/>
  <c r="E248" i="21"/>
  <c r="F248" i="21" s="1"/>
  <c r="K248" i="21" s="1"/>
  <c r="E247" i="21"/>
  <c r="F247" i="21" s="1"/>
  <c r="E246" i="21"/>
  <c r="E245" i="21"/>
  <c r="F245" i="21" s="1"/>
  <c r="E244" i="21"/>
  <c r="F244" i="21" s="1"/>
  <c r="E243" i="21"/>
  <c r="F243" i="21" s="1"/>
  <c r="K243" i="21" s="1"/>
  <c r="E242" i="21"/>
  <c r="E241" i="21"/>
  <c r="E240" i="21"/>
  <c r="E239" i="21"/>
  <c r="F239" i="21" s="1"/>
  <c r="E10" i="21"/>
  <c r="F10" i="21" s="1"/>
  <c r="E16" i="21"/>
  <c r="E15" i="21"/>
  <c r="F15" i="21" s="1"/>
  <c r="E14" i="21"/>
  <c r="F14" i="21" s="1"/>
  <c r="E13" i="21"/>
  <c r="E12" i="21"/>
  <c r="F12" i="21" s="1"/>
  <c r="E11" i="21"/>
  <c r="F11" i="21" s="1"/>
  <c r="E9" i="21"/>
  <c r="E8" i="21"/>
  <c r="E7" i="21"/>
  <c r="E6" i="21"/>
  <c r="F6" i="21" s="1"/>
  <c r="J6" i="21" s="1"/>
  <c r="A42" i="21"/>
  <c r="B42" i="21"/>
  <c r="E44" i="21"/>
  <c r="F44" i="21" s="1"/>
  <c r="E45" i="21"/>
  <c r="F45" i="21" s="1"/>
  <c r="J45" i="21" s="1"/>
  <c r="E46" i="21"/>
  <c r="F46" i="21" s="1"/>
  <c r="L46" i="21" s="1"/>
  <c r="E49" i="21"/>
  <c r="F49" i="21" s="1"/>
  <c r="J49" i="21" s="1"/>
  <c r="E50" i="21"/>
  <c r="F50" i="21" s="1"/>
  <c r="E51" i="21"/>
  <c r="F51" i="21" s="1"/>
  <c r="K51" i="21" s="1"/>
  <c r="E52" i="21"/>
  <c r="F52" i="21" s="1"/>
  <c r="E55" i="21"/>
  <c r="F55" i="21" s="1"/>
  <c r="E56" i="21"/>
  <c r="F56" i="21" s="1"/>
  <c r="E57" i="21"/>
  <c r="F57" i="21" s="1"/>
  <c r="E58" i="21"/>
  <c r="F58" i="21" s="1"/>
  <c r="B88" i="40"/>
  <c r="B27" i="52" s="1"/>
  <c r="B89" i="40"/>
  <c r="B30" i="52" s="1"/>
  <c r="B90" i="40"/>
  <c r="B39" i="52" s="1"/>
  <c r="B91" i="40"/>
  <c r="B92" i="40"/>
  <c r="B87" i="40"/>
  <c r="B24" i="52" s="1"/>
  <c r="B305" i="40"/>
  <c r="C66" i="17" s="1"/>
  <c r="B31" i="40"/>
  <c r="P10" i="48"/>
  <c r="P14" i="48"/>
  <c r="P29" i="48"/>
  <c r="P31" i="48"/>
  <c r="P33" i="48"/>
  <c r="P35" i="48"/>
  <c r="P37" i="48"/>
  <c r="P39" i="48"/>
  <c r="P41" i="48"/>
  <c r="P43" i="48"/>
  <c r="P45" i="48"/>
  <c r="G529" i="40"/>
  <c r="G531" i="40"/>
  <c r="G532" i="40"/>
  <c r="G530" i="40"/>
  <c r="G533" i="40"/>
  <c r="G534" i="40"/>
  <c r="G535" i="40"/>
  <c r="D352" i="40"/>
  <c r="E352" i="40"/>
  <c r="F352" i="40"/>
  <c r="G352" i="40"/>
  <c r="K352" i="40" s="1"/>
  <c r="H352" i="40"/>
  <c r="I352" i="40"/>
  <c r="M352" i="40" s="1"/>
  <c r="J352" i="40"/>
  <c r="D353" i="40"/>
  <c r="E353" i="40"/>
  <c r="F353" i="40"/>
  <c r="G353" i="40"/>
  <c r="H353" i="40"/>
  <c r="I353" i="40"/>
  <c r="C352" i="40"/>
  <c r="C353" i="40"/>
  <c r="B352" i="40"/>
  <c r="B353" i="40"/>
  <c r="A352" i="40"/>
  <c r="A353" i="40"/>
  <c r="B293" i="40"/>
  <c r="B294" i="40"/>
  <c r="B295" i="40"/>
  <c r="B296" i="40"/>
  <c r="B297" i="40"/>
  <c r="B298" i="40"/>
  <c r="B299" i="40"/>
  <c r="A293" i="40"/>
  <c r="A376" i="52"/>
  <c r="A294" i="40"/>
  <c r="A379" i="52" s="1"/>
  <c r="A295" i="40"/>
  <c r="A382" i="52" s="1"/>
  <c r="A296" i="40"/>
  <c r="A385" i="52" s="1"/>
  <c r="A297" i="40"/>
  <c r="A388" i="52" s="1"/>
  <c r="A298" i="40"/>
  <c r="A299" i="40"/>
  <c r="A389" i="52" s="1"/>
  <c r="A3" i="53"/>
  <c r="B3" i="53"/>
  <c r="C3" i="53"/>
  <c r="D3" i="53"/>
  <c r="E3" i="53"/>
  <c r="F3" i="53"/>
  <c r="G3" i="53"/>
  <c r="H3" i="53"/>
  <c r="I3" i="53"/>
  <c r="J3" i="53"/>
  <c r="K3" i="53"/>
  <c r="L3" i="53"/>
  <c r="M3" i="53"/>
  <c r="N3" i="53"/>
  <c r="O3" i="53"/>
  <c r="A4" i="53"/>
  <c r="B4" i="53"/>
  <c r="C4" i="53"/>
  <c r="D4" i="53"/>
  <c r="E4" i="53"/>
  <c r="F4" i="53"/>
  <c r="G4" i="53"/>
  <c r="H4" i="53"/>
  <c r="I4" i="53"/>
  <c r="J4" i="53"/>
  <c r="K4" i="53"/>
  <c r="L4" i="53"/>
  <c r="M4" i="53"/>
  <c r="N4" i="53"/>
  <c r="O4" i="53"/>
  <c r="A5" i="53"/>
  <c r="B5" i="53"/>
  <c r="C5" i="53"/>
  <c r="D5" i="53"/>
  <c r="E5" i="53"/>
  <c r="F5" i="53"/>
  <c r="G5" i="53"/>
  <c r="H5" i="53"/>
  <c r="I5" i="53"/>
  <c r="J5" i="53"/>
  <c r="K5" i="53"/>
  <c r="L5" i="53"/>
  <c r="M5" i="53"/>
  <c r="N5" i="53"/>
  <c r="O5" i="53"/>
  <c r="A6" i="53"/>
  <c r="B6" i="53"/>
  <c r="C6" i="53"/>
  <c r="D6" i="53"/>
  <c r="E6" i="53"/>
  <c r="F6" i="53"/>
  <c r="G6" i="53"/>
  <c r="H6" i="53"/>
  <c r="I6" i="53"/>
  <c r="J6" i="53"/>
  <c r="K6" i="53"/>
  <c r="L6" i="53"/>
  <c r="M6" i="53"/>
  <c r="N6" i="53"/>
  <c r="O6" i="53"/>
  <c r="B7" i="53"/>
  <c r="C7" i="53"/>
  <c r="D7" i="53"/>
  <c r="S7" i="53"/>
  <c r="A8" i="53"/>
  <c r="B8" i="53"/>
  <c r="C8" i="53"/>
  <c r="D8" i="53"/>
  <c r="S8" i="53"/>
  <c r="A9" i="53"/>
  <c r="B9" i="53"/>
  <c r="C9" i="53"/>
  <c r="D9" i="53"/>
  <c r="S9" i="53"/>
  <c r="A10" i="53"/>
  <c r="B10" i="53"/>
  <c r="C10" i="53"/>
  <c r="D10" i="53"/>
  <c r="E10" i="53"/>
  <c r="F10" i="53"/>
  <c r="G10" i="53"/>
  <c r="H10" i="53"/>
  <c r="I10" i="53"/>
  <c r="J10" i="53"/>
  <c r="K10" i="53"/>
  <c r="L10" i="53"/>
  <c r="M10" i="53"/>
  <c r="N10" i="53"/>
  <c r="O10" i="53"/>
  <c r="Q10" i="53"/>
  <c r="R10" i="53" s="1"/>
  <c r="S10" i="53"/>
  <c r="T10" i="53" s="1"/>
  <c r="A11" i="53"/>
  <c r="B11" i="53"/>
  <c r="C11" i="53"/>
  <c r="D11" i="53"/>
  <c r="E11" i="53"/>
  <c r="F11" i="53"/>
  <c r="G11" i="53"/>
  <c r="H11" i="53"/>
  <c r="I11" i="53"/>
  <c r="J11" i="53"/>
  <c r="K11" i="53"/>
  <c r="L11" i="53"/>
  <c r="M11" i="53"/>
  <c r="Q11" i="53" s="1"/>
  <c r="R11" i="53" s="1"/>
  <c r="N11" i="53"/>
  <c r="O11" i="53"/>
  <c r="S11" i="53"/>
  <c r="A12" i="53"/>
  <c r="B12" i="53"/>
  <c r="C12" i="53"/>
  <c r="D12" i="53"/>
  <c r="E12" i="53"/>
  <c r="F12" i="53"/>
  <c r="G12" i="53"/>
  <c r="H12" i="53"/>
  <c r="I12" i="53"/>
  <c r="J12" i="53"/>
  <c r="K12" i="53"/>
  <c r="L12" i="53"/>
  <c r="M12" i="53"/>
  <c r="Q12" i="53" s="1"/>
  <c r="R12" i="53" s="1"/>
  <c r="N12" i="53"/>
  <c r="O12" i="53"/>
  <c r="S12" i="53"/>
  <c r="A13" i="53"/>
  <c r="B13" i="53"/>
  <c r="C13" i="53"/>
  <c r="D13" i="53"/>
  <c r="E13" i="53"/>
  <c r="F13" i="53"/>
  <c r="G13" i="53"/>
  <c r="H13" i="53"/>
  <c r="I13" i="53"/>
  <c r="J13" i="53"/>
  <c r="K13" i="53"/>
  <c r="L13" i="53"/>
  <c r="M13" i="53"/>
  <c r="Q13" i="53" s="1"/>
  <c r="R13" i="53" s="1"/>
  <c r="N13" i="53"/>
  <c r="O13" i="53"/>
  <c r="S13" i="53"/>
  <c r="C14" i="53"/>
  <c r="D14" i="53"/>
  <c r="E14" i="53"/>
  <c r="N14" i="53"/>
  <c r="O14" i="53"/>
  <c r="A15" i="53"/>
  <c r="B15" i="53"/>
  <c r="B37" i="53" s="1"/>
  <c r="C15" i="53"/>
  <c r="C26" i="53" s="1"/>
  <c r="D15" i="53"/>
  <c r="D37" i="53" s="1"/>
  <c r="A16" i="53"/>
  <c r="A27" i="53" s="1"/>
  <c r="B16" i="53"/>
  <c r="B38" i="53" s="1"/>
  <c r="C16" i="53"/>
  <c r="C38" i="53" s="1"/>
  <c r="D16" i="53"/>
  <c r="A17" i="53"/>
  <c r="A28" i="53" s="1"/>
  <c r="B17" i="53"/>
  <c r="B39" i="53" s="1"/>
  <c r="C17" i="53"/>
  <c r="D17" i="53"/>
  <c r="D28" i="53" s="1"/>
  <c r="A18" i="53"/>
  <c r="A29" i="53" s="1"/>
  <c r="B18" i="53"/>
  <c r="B29" i="53" s="1"/>
  <c r="C18" i="53"/>
  <c r="C29" i="53" s="1"/>
  <c r="D18" i="53"/>
  <c r="D40" i="53" s="1"/>
  <c r="E18" i="53"/>
  <c r="F18" i="53"/>
  <c r="G18" i="53"/>
  <c r="H18" i="53"/>
  <c r="I18" i="53"/>
  <c r="J18" i="53"/>
  <c r="K18" i="53"/>
  <c r="L18" i="53"/>
  <c r="M18" i="53"/>
  <c r="N18" i="53"/>
  <c r="O18" i="53"/>
  <c r="A19" i="53"/>
  <c r="A41" i="53" s="1"/>
  <c r="B19" i="53"/>
  <c r="C19" i="53"/>
  <c r="C41" i="53" s="1"/>
  <c r="D19" i="53"/>
  <c r="D41" i="53" s="1"/>
  <c r="E19" i="53"/>
  <c r="F19" i="53"/>
  <c r="G19" i="53"/>
  <c r="H19" i="53"/>
  <c r="I19" i="53"/>
  <c r="J19" i="53"/>
  <c r="K19" i="53"/>
  <c r="L19" i="53"/>
  <c r="M19" i="53"/>
  <c r="N19" i="53"/>
  <c r="O19" i="53"/>
  <c r="A20" i="53"/>
  <c r="A42" i="53" s="1"/>
  <c r="B20" i="53"/>
  <c r="C20" i="53"/>
  <c r="C31" i="53" s="1"/>
  <c r="D20" i="53"/>
  <c r="D42" i="53" s="1"/>
  <c r="E20" i="53"/>
  <c r="F20" i="53"/>
  <c r="G20" i="53"/>
  <c r="H20" i="53"/>
  <c r="I20" i="53"/>
  <c r="J20" i="53"/>
  <c r="K20" i="53"/>
  <c r="L20" i="53"/>
  <c r="M20" i="53"/>
  <c r="N20" i="53"/>
  <c r="O20" i="53"/>
  <c r="A21" i="53"/>
  <c r="A43" i="53" s="1"/>
  <c r="B21" i="53"/>
  <c r="B32" i="53" s="1"/>
  <c r="C21" i="53"/>
  <c r="C43" i="53" s="1"/>
  <c r="D21" i="53"/>
  <c r="D32" i="53" s="1"/>
  <c r="E21" i="53"/>
  <c r="F21" i="53"/>
  <c r="G21" i="53"/>
  <c r="H21" i="53"/>
  <c r="I21" i="53"/>
  <c r="J21" i="53"/>
  <c r="K21" i="53"/>
  <c r="L21" i="53"/>
  <c r="M21" i="53"/>
  <c r="Q21" i="53" s="1"/>
  <c r="R21" i="53" s="1"/>
  <c r="N21" i="53"/>
  <c r="O21" i="53"/>
  <c r="A22" i="53"/>
  <c r="A33" i="53" s="1"/>
  <c r="B22" i="53"/>
  <c r="B33" i="53" s="1"/>
  <c r="C22" i="53"/>
  <c r="C33" i="53" s="1"/>
  <c r="D22" i="53"/>
  <c r="D44" i="53" s="1"/>
  <c r="E22" i="53"/>
  <c r="F22" i="53"/>
  <c r="G22" i="53"/>
  <c r="H22" i="53"/>
  <c r="I22" i="53"/>
  <c r="J22" i="53"/>
  <c r="K22" i="53"/>
  <c r="L22" i="53"/>
  <c r="M22" i="53"/>
  <c r="Q22" i="53" s="1"/>
  <c r="R22" i="53" s="1"/>
  <c r="N22" i="53"/>
  <c r="O22" i="53"/>
  <c r="A23" i="53"/>
  <c r="A45" i="53" s="1"/>
  <c r="B23" i="53"/>
  <c r="B45" i="53" s="1"/>
  <c r="C23" i="53"/>
  <c r="C45" i="53" s="1"/>
  <c r="D23" i="53"/>
  <c r="D45" i="53" s="1"/>
  <c r="E23" i="53"/>
  <c r="F23" i="53"/>
  <c r="G23" i="53"/>
  <c r="H23" i="53"/>
  <c r="I23" i="53"/>
  <c r="J23" i="53"/>
  <c r="K23" i="53"/>
  <c r="L23" i="53"/>
  <c r="M23" i="53"/>
  <c r="Q23" i="53" s="1"/>
  <c r="R23" i="53" s="1"/>
  <c r="N23" i="53"/>
  <c r="O23" i="53"/>
  <c r="A24" i="53"/>
  <c r="A46" i="53" s="1"/>
  <c r="B24" i="53"/>
  <c r="B35" i="53" s="1"/>
  <c r="C24" i="53"/>
  <c r="C35" i="53" s="1"/>
  <c r="D24" i="53"/>
  <c r="D46" i="53" s="1"/>
  <c r="E24" i="53"/>
  <c r="F24" i="53"/>
  <c r="G24" i="53"/>
  <c r="H24" i="53"/>
  <c r="I24" i="53"/>
  <c r="J24" i="53"/>
  <c r="K24" i="53"/>
  <c r="L24" i="53"/>
  <c r="M24" i="53"/>
  <c r="Q24" i="53" s="1"/>
  <c r="R24" i="53" s="1"/>
  <c r="N24" i="53"/>
  <c r="O24" i="53"/>
  <c r="C25" i="53"/>
  <c r="D25" i="53"/>
  <c r="E25" i="53"/>
  <c r="N25" i="53"/>
  <c r="O25" i="53"/>
  <c r="Q25" i="53"/>
  <c r="A26" i="53"/>
  <c r="D26" i="53"/>
  <c r="C27" i="53"/>
  <c r="D27" i="53"/>
  <c r="C28" i="53"/>
  <c r="D29" i="53"/>
  <c r="E29" i="53"/>
  <c r="F29" i="53"/>
  <c r="G29" i="53"/>
  <c r="H29" i="53"/>
  <c r="I29" i="53"/>
  <c r="J29" i="53"/>
  <c r="K29" i="53"/>
  <c r="L29" i="53"/>
  <c r="M29" i="53"/>
  <c r="N29" i="53"/>
  <c r="O29" i="53"/>
  <c r="A30" i="53"/>
  <c r="E30" i="53"/>
  <c r="F30" i="53"/>
  <c r="G30" i="53"/>
  <c r="H30" i="53"/>
  <c r="I30" i="53"/>
  <c r="J30" i="53"/>
  <c r="K30" i="53"/>
  <c r="L30" i="53"/>
  <c r="M30" i="53"/>
  <c r="N30" i="53"/>
  <c r="O30" i="53"/>
  <c r="B31" i="53"/>
  <c r="E31" i="53"/>
  <c r="F31" i="53"/>
  <c r="G31" i="53"/>
  <c r="H31" i="53"/>
  <c r="I31" i="53"/>
  <c r="J31" i="53"/>
  <c r="K31" i="53"/>
  <c r="L31" i="53"/>
  <c r="M31" i="53"/>
  <c r="N31" i="53"/>
  <c r="O31" i="53"/>
  <c r="E32" i="53"/>
  <c r="F32" i="53"/>
  <c r="G32" i="53"/>
  <c r="H32" i="53"/>
  <c r="I32" i="53"/>
  <c r="J32" i="53"/>
  <c r="K32" i="53"/>
  <c r="L32" i="53"/>
  <c r="M32" i="53"/>
  <c r="N32" i="53"/>
  <c r="O32" i="53"/>
  <c r="D33" i="53"/>
  <c r="E33" i="53"/>
  <c r="F33" i="53"/>
  <c r="G33" i="53"/>
  <c r="H33" i="53"/>
  <c r="I33" i="53"/>
  <c r="J33" i="53"/>
  <c r="K33" i="53"/>
  <c r="L33" i="53"/>
  <c r="M33" i="53"/>
  <c r="N33" i="53"/>
  <c r="O33" i="53"/>
  <c r="A34" i="53"/>
  <c r="D34" i="53"/>
  <c r="E34" i="53"/>
  <c r="F34" i="53"/>
  <c r="G34" i="53"/>
  <c r="H34" i="53"/>
  <c r="I34" i="53"/>
  <c r="J34" i="53"/>
  <c r="K34" i="53"/>
  <c r="L34" i="53"/>
  <c r="M34" i="53"/>
  <c r="N34" i="53"/>
  <c r="O34" i="53"/>
  <c r="A35" i="53"/>
  <c r="E35" i="53"/>
  <c r="F35" i="53"/>
  <c r="G35" i="53"/>
  <c r="H35" i="53"/>
  <c r="I35" i="53"/>
  <c r="J35" i="53"/>
  <c r="K35" i="53"/>
  <c r="L35" i="53"/>
  <c r="M35" i="53"/>
  <c r="N35" i="53"/>
  <c r="O35" i="53"/>
  <c r="C36" i="53"/>
  <c r="D36" i="53"/>
  <c r="E36" i="53"/>
  <c r="N36" i="53"/>
  <c r="O36" i="53"/>
  <c r="Q36" i="53"/>
  <c r="A37" i="53"/>
  <c r="C37" i="53"/>
  <c r="D38" i="53"/>
  <c r="C39" i="53"/>
  <c r="D39" i="53"/>
  <c r="A40" i="53"/>
  <c r="B40" i="53"/>
  <c r="C40" i="53"/>
  <c r="E40" i="53"/>
  <c r="F40" i="53"/>
  <c r="G40" i="53"/>
  <c r="H40" i="53"/>
  <c r="I40" i="53"/>
  <c r="J40" i="53"/>
  <c r="K40" i="53"/>
  <c r="L40" i="53"/>
  <c r="M40" i="53"/>
  <c r="N40" i="53"/>
  <c r="O40" i="53"/>
  <c r="E41" i="53"/>
  <c r="F41" i="53"/>
  <c r="G41" i="53"/>
  <c r="H41" i="53"/>
  <c r="I41" i="53"/>
  <c r="J41" i="53"/>
  <c r="K41" i="53"/>
  <c r="L41" i="53"/>
  <c r="M41" i="53"/>
  <c r="N41" i="53"/>
  <c r="O41" i="53"/>
  <c r="B42" i="53"/>
  <c r="E42" i="53"/>
  <c r="F42" i="53"/>
  <c r="G42" i="53"/>
  <c r="H42" i="53"/>
  <c r="I42" i="53"/>
  <c r="J42" i="53"/>
  <c r="K42" i="53"/>
  <c r="L42" i="53"/>
  <c r="M42" i="53"/>
  <c r="N42" i="53"/>
  <c r="O42" i="53"/>
  <c r="B43" i="53"/>
  <c r="E43" i="53"/>
  <c r="F43" i="53"/>
  <c r="G43" i="53"/>
  <c r="H43" i="53"/>
  <c r="I43" i="53"/>
  <c r="J43" i="53"/>
  <c r="K43" i="53"/>
  <c r="L43" i="53"/>
  <c r="M43" i="53"/>
  <c r="N43" i="53"/>
  <c r="O43" i="53"/>
  <c r="C44" i="53"/>
  <c r="E44" i="53"/>
  <c r="F44" i="53"/>
  <c r="G44" i="53"/>
  <c r="H44" i="53"/>
  <c r="I44" i="53"/>
  <c r="J44" i="53"/>
  <c r="K44" i="53"/>
  <c r="L44" i="53"/>
  <c r="M44" i="53"/>
  <c r="N44" i="53"/>
  <c r="O44" i="53"/>
  <c r="E45" i="53"/>
  <c r="F45" i="53"/>
  <c r="G45" i="53"/>
  <c r="H45" i="53"/>
  <c r="I45" i="53"/>
  <c r="J45" i="53"/>
  <c r="K45" i="53"/>
  <c r="L45" i="53"/>
  <c r="M45" i="53"/>
  <c r="N45" i="53"/>
  <c r="O45" i="53"/>
  <c r="B46" i="53"/>
  <c r="E46" i="53"/>
  <c r="F46" i="53"/>
  <c r="G46" i="53"/>
  <c r="H46" i="53"/>
  <c r="I46" i="53"/>
  <c r="J46" i="53"/>
  <c r="K46" i="53"/>
  <c r="L46" i="53"/>
  <c r="M46" i="53"/>
  <c r="N46" i="53"/>
  <c r="O46" i="53"/>
  <c r="C47" i="53"/>
  <c r="D47" i="53"/>
  <c r="E47" i="53"/>
  <c r="F47" i="53"/>
  <c r="G47" i="53"/>
  <c r="H47" i="53"/>
  <c r="I47" i="53"/>
  <c r="J47" i="53"/>
  <c r="K47" i="53"/>
  <c r="L47" i="53"/>
  <c r="M47" i="53"/>
  <c r="Q47" i="53" s="1"/>
  <c r="D48" i="53"/>
  <c r="D54" i="53" s="1"/>
  <c r="O48" i="53"/>
  <c r="D49" i="53"/>
  <c r="O49" i="53"/>
  <c r="D50" i="53"/>
  <c r="D62" i="53" s="1"/>
  <c r="O50" i="53"/>
  <c r="D51" i="53"/>
  <c r="D63" i="53" s="1"/>
  <c r="E51" i="53"/>
  <c r="F51" i="53"/>
  <c r="G51" i="53"/>
  <c r="H51" i="53"/>
  <c r="I51" i="53"/>
  <c r="J51" i="53"/>
  <c r="K51" i="53"/>
  <c r="L51" i="53"/>
  <c r="M51" i="53"/>
  <c r="Q51" i="53" s="1"/>
  <c r="R51" i="53" s="1"/>
  <c r="N51" i="53"/>
  <c r="O51" i="53"/>
  <c r="D52" i="53"/>
  <c r="D64" i="53" s="1"/>
  <c r="E52" i="53"/>
  <c r="F52" i="53"/>
  <c r="G52" i="53"/>
  <c r="H52" i="53"/>
  <c r="I52" i="53"/>
  <c r="J52" i="53"/>
  <c r="K52" i="53"/>
  <c r="L52" i="53"/>
  <c r="M52" i="53"/>
  <c r="Q52" i="53" s="1"/>
  <c r="R52" i="53" s="1"/>
  <c r="N52" i="53"/>
  <c r="O52" i="53"/>
  <c r="E53" i="53"/>
  <c r="F53" i="53"/>
  <c r="G53" i="53"/>
  <c r="H53" i="53"/>
  <c r="I53" i="53"/>
  <c r="J53" i="53"/>
  <c r="K53" i="53"/>
  <c r="L53" i="53"/>
  <c r="M53" i="53"/>
  <c r="Q53" i="53"/>
  <c r="O54" i="53"/>
  <c r="D55" i="53"/>
  <c r="O55" i="53"/>
  <c r="O56" i="53"/>
  <c r="E57" i="53"/>
  <c r="F57" i="53"/>
  <c r="G57" i="53"/>
  <c r="H57" i="53"/>
  <c r="I57" i="53"/>
  <c r="J57" i="53"/>
  <c r="K57" i="53"/>
  <c r="L57" i="53"/>
  <c r="M57" i="53"/>
  <c r="N57" i="53"/>
  <c r="O57" i="53"/>
  <c r="E58" i="53"/>
  <c r="F58" i="53"/>
  <c r="G58" i="53"/>
  <c r="H58" i="53"/>
  <c r="I58" i="53"/>
  <c r="J58" i="53"/>
  <c r="K58" i="53"/>
  <c r="L58" i="53"/>
  <c r="M58" i="53"/>
  <c r="N58" i="53"/>
  <c r="O58" i="53"/>
  <c r="E59" i="53"/>
  <c r="F59" i="53"/>
  <c r="G59" i="53"/>
  <c r="H59" i="53"/>
  <c r="I59" i="53"/>
  <c r="J59" i="53"/>
  <c r="K59" i="53"/>
  <c r="L59" i="53"/>
  <c r="M59" i="53"/>
  <c r="O60" i="53"/>
  <c r="D61" i="53"/>
  <c r="O61" i="53"/>
  <c r="O62" i="53"/>
  <c r="E63" i="53"/>
  <c r="F63" i="53"/>
  <c r="G63" i="53"/>
  <c r="H63" i="53"/>
  <c r="I63" i="53"/>
  <c r="J63" i="53"/>
  <c r="K63" i="53"/>
  <c r="L63" i="53"/>
  <c r="M63" i="53"/>
  <c r="N63" i="53"/>
  <c r="O63" i="53"/>
  <c r="E64" i="53"/>
  <c r="F64" i="53"/>
  <c r="G64" i="53"/>
  <c r="H64" i="53"/>
  <c r="I64" i="53"/>
  <c r="J64" i="53"/>
  <c r="K64" i="53"/>
  <c r="L64" i="53"/>
  <c r="M64" i="53"/>
  <c r="N64" i="53"/>
  <c r="O64" i="53"/>
  <c r="A65" i="53"/>
  <c r="B65" i="53"/>
  <c r="C65" i="53"/>
  <c r="D65" i="53"/>
  <c r="S65" i="53"/>
  <c r="A66" i="53"/>
  <c r="B66" i="53"/>
  <c r="C66" i="53"/>
  <c r="D66" i="53"/>
  <c r="S66" i="53"/>
  <c r="A67" i="53"/>
  <c r="B67" i="53"/>
  <c r="C67" i="53"/>
  <c r="D67" i="53"/>
  <c r="S67" i="53"/>
  <c r="A68" i="53"/>
  <c r="B68" i="53"/>
  <c r="C68" i="53"/>
  <c r="D68" i="53"/>
  <c r="E68" i="53"/>
  <c r="F68" i="53"/>
  <c r="G68" i="53"/>
  <c r="H68" i="53"/>
  <c r="I68" i="53"/>
  <c r="J68" i="53"/>
  <c r="K68" i="53"/>
  <c r="L68" i="53"/>
  <c r="M68" i="53"/>
  <c r="N68" i="53"/>
  <c r="O68" i="53"/>
  <c r="S68" i="53"/>
  <c r="A69" i="53"/>
  <c r="B69" i="53"/>
  <c r="C69" i="53"/>
  <c r="D69" i="53"/>
  <c r="E69" i="53"/>
  <c r="F69" i="53"/>
  <c r="G69" i="53"/>
  <c r="H69" i="53"/>
  <c r="I69" i="53"/>
  <c r="J69" i="53"/>
  <c r="K69" i="53"/>
  <c r="L69" i="53"/>
  <c r="M69" i="53"/>
  <c r="N69" i="53"/>
  <c r="O69" i="53"/>
  <c r="S69" i="53"/>
  <c r="A70" i="53"/>
  <c r="B70" i="53"/>
  <c r="C70" i="53"/>
  <c r="D70" i="53"/>
  <c r="E70" i="53"/>
  <c r="F70" i="53"/>
  <c r="G70" i="53"/>
  <c r="H70" i="53"/>
  <c r="I70" i="53"/>
  <c r="J70" i="53"/>
  <c r="K70" i="53"/>
  <c r="L70" i="53"/>
  <c r="M70" i="53"/>
  <c r="T70" i="53" s="1"/>
  <c r="N70" i="53"/>
  <c r="O70" i="53"/>
  <c r="S70" i="53"/>
  <c r="A71" i="53"/>
  <c r="B71" i="53"/>
  <c r="C71" i="53"/>
  <c r="D71" i="53"/>
  <c r="E71" i="53"/>
  <c r="F71" i="53"/>
  <c r="G71" i="53"/>
  <c r="H71" i="53"/>
  <c r="I71" i="53"/>
  <c r="J71" i="53"/>
  <c r="K71" i="53"/>
  <c r="L71" i="53"/>
  <c r="M71" i="53"/>
  <c r="N71" i="53"/>
  <c r="O71" i="53"/>
  <c r="S71" i="53"/>
  <c r="C72" i="53"/>
  <c r="D72" i="53"/>
  <c r="E72" i="53"/>
  <c r="N72" i="53"/>
  <c r="O72" i="53"/>
  <c r="E74" i="53"/>
  <c r="N74" i="53"/>
  <c r="O74" i="53"/>
  <c r="E76" i="53"/>
  <c r="N76" i="53"/>
  <c r="O76" i="53"/>
  <c r="C78" i="53"/>
  <c r="D78" i="53"/>
  <c r="E78" i="53"/>
  <c r="E80" i="53"/>
  <c r="E82" i="53"/>
  <c r="E84" i="53"/>
  <c r="A85" i="53"/>
  <c r="A88" i="53" s="1"/>
  <c r="B85" i="53"/>
  <c r="B91" i="53" s="1"/>
  <c r="C85" i="53"/>
  <c r="C88" i="53" s="1"/>
  <c r="D85" i="53"/>
  <c r="A86" i="53"/>
  <c r="A92" i="53" s="1"/>
  <c r="B86" i="53"/>
  <c r="B89" i="53" s="1"/>
  <c r="C86" i="53"/>
  <c r="C92" i="53" s="1"/>
  <c r="D86" i="53"/>
  <c r="E86" i="53"/>
  <c r="F86" i="53"/>
  <c r="G86" i="53"/>
  <c r="H86" i="53"/>
  <c r="I86" i="53"/>
  <c r="J86" i="53"/>
  <c r="K86" i="53"/>
  <c r="L86" i="53"/>
  <c r="M86" i="53"/>
  <c r="N86" i="53"/>
  <c r="O86" i="53"/>
  <c r="E87" i="53"/>
  <c r="A89" i="53"/>
  <c r="E89" i="53"/>
  <c r="F89" i="53"/>
  <c r="G89" i="53"/>
  <c r="H89" i="53"/>
  <c r="I89" i="53"/>
  <c r="J89" i="53"/>
  <c r="K89" i="53"/>
  <c r="L89" i="53"/>
  <c r="M89" i="53"/>
  <c r="N89" i="53"/>
  <c r="O89" i="53"/>
  <c r="E90" i="53"/>
  <c r="A91" i="53"/>
  <c r="E92" i="53"/>
  <c r="F92" i="53"/>
  <c r="G92" i="53"/>
  <c r="H92" i="53"/>
  <c r="I92" i="53"/>
  <c r="J92" i="53"/>
  <c r="K92" i="53"/>
  <c r="L92" i="53"/>
  <c r="M92" i="53"/>
  <c r="N92" i="53"/>
  <c r="O92" i="53"/>
  <c r="C93" i="53"/>
  <c r="D93" i="53"/>
  <c r="E93" i="53"/>
  <c r="F93" i="53"/>
  <c r="G93" i="53"/>
  <c r="H93" i="53"/>
  <c r="I93" i="53"/>
  <c r="J93" i="53"/>
  <c r="K93" i="53"/>
  <c r="L93" i="53"/>
  <c r="M93" i="53"/>
  <c r="N93" i="53"/>
  <c r="O93" i="53"/>
  <c r="E95" i="53"/>
  <c r="F95" i="53"/>
  <c r="G95" i="53"/>
  <c r="H95" i="53"/>
  <c r="I95" i="53"/>
  <c r="J95" i="53"/>
  <c r="K95" i="53"/>
  <c r="L95" i="53"/>
  <c r="M95" i="53"/>
  <c r="N95" i="53"/>
  <c r="O95" i="53"/>
  <c r="E97" i="53"/>
  <c r="F97" i="53"/>
  <c r="G97" i="53"/>
  <c r="H97" i="53"/>
  <c r="I97" i="53"/>
  <c r="J97" i="53"/>
  <c r="K97" i="53"/>
  <c r="L97" i="53"/>
  <c r="M97" i="53"/>
  <c r="N97" i="53"/>
  <c r="O97" i="53"/>
  <c r="A99" i="53"/>
  <c r="C99" i="53"/>
  <c r="D99" i="53"/>
  <c r="F99" i="53"/>
  <c r="A101" i="53"/>
  <c r="B101" i="53"/>
  <c r="C101" i="53"/>
  <c r="D101" i="53"/>
  <c r="E101" i="53"/>
  <c r="F101" i="53"/>
  <c r="G101" i="53"/>
  <c r="H101" i="53"/>
  <c r="I101" i="53"/>
  <c r="J101" i="53"/>
  <c r="K101" i="53"/>
  <c r="L101" i="53"/>
  <c r="M101" i="53"/>
  <c r="N101" i="53"/>
  <c r="O101" i="53"/>
  <c r="A102" i="53"/>
  <c r="B102" i="53"/>
  <c r="C102" i="53"/>
  <c r="D102" i="53"/>
  <c r="E102" i="53"/>
  <c r="F102" i="53"/>
  <c r="G102" i="53"/>
  <c r="H102" i="53"/>
  <c r="I102" i="53"/>
  <c r="J102" i="53"/>
  <c r="K102" i="53"/>
  <c r="L102" i="53"/>
  <c r="M102" i="53"/>
  <c r="N102" i="53"/>
  <c r="O102" i="53"/>
  <c r="A11" i="52"/>
  <c r="B11" i="52"/>
  <c r="A19" i="52"/>
  <c r="B19" i="52"/>
  <c r="C19" i="52"/>
  <c r="E19" i="52"/>
  <c r="K19" i="52"/>
  <c r="N19" i="52"/>
  <c r="A20" i="52"/>
  <c r="B20" i="52"/>
  <c r="C20" i="52"/>
  <c r="E20" i="52"/>
  <c r="K20" i="52"/>
  <c r="N20" i="52"/>
  <c r="A21" i="52"/>
  <c r="B21" i="52"/>
  <c r="C21" i="52"/>
  <c r="E21" i="52"/>
  <c r="K21" i="52"/>
  <c r="L21" i="52" s="1"/>
  <c r="M21" i="52" s="1"/>
  <c r="N21" i="52"/>
  <c r="K23" i="52"/>
  <c r="L23" i="52" s="1"/>
  <c r="C24" i="52"/>
  <c r="D24" i="52"/>
  <c r="C25" i="52"/>
  <c r="D25" i="52"/>
  <c r="C26" i="52"/>
  <c r="D26" i="52"/>
  <c r="C27" i="52"/>
  <c r="D27" i="52"/>
  <c r="C28" i="52"/>
  <c r="D28" i="52"/>
  <c r="C29" i="52"/>
  <c r="D29" i="52"/>
  <c r="C30" i="52"/>
  <c r="D30" i="52"/>
  <c r="C31" i="52"/>
  <c r="D31" i="52"/>
  <c r="C32" i="52"/>
  <c r="D32" i="52"/>
  <c r="A33" i="52"/>
  <c r="B33" i="52"/>
  <c r="C33" i="52"/>
  <c r="D33" i="52"/>
  <c r="C34" i="52"/>
  <c r="D34" i="52"/>
  <c r="C35" i="52"/>
  <c r="D35" i="52"/>
  <c r="A36" i="52"/>
  <c r="B36" i="52"/>
  <c r="C36" i="52"/>
  <c r="D36" i="52"/>
  <c r="C37" i="52"/>
  <c r="D37" i="52"/>
  <c r="C38" i="52"/>
  <c r="D38" i="52"/>
  <c r="A39" i="52"/>
  <c r="C39" i="52"/>
  <c r="D39" i="52"/>
  <c r="C40" i="52"/>
  <c r="D40" i="52"/>
  <c r="C41" i="52"/>
  <c r="D41" i="52"/>
  <c r="B42" i="52"/>
  <c r="A43" i="52"/>
  <c r="B43" i="52"/>
  <c r="A48" i="52"/>
  <c r="B48" i="52"/>
  <c r="D48" i="52"/>
  <c r="E48" i="52"/>
  <c r="K48" i="52" s="1"/>
  <c r="L48" i="52" s="1"/>
  <c r="M48" i="52" s="1"/>
  <c r="F48" i="52"/>
  <c r="F44" i="52"/>
  <c r="F65" i="52" s="1"/>
  <c r="N48" i="52"/>
  <c r="D49" i="52"/>
  <c r="E49" i="52"/>
  <c r="K49" i="52" s="1"/>
  <c r="L49" i="52" s="1"/>
  <c r="M49" i="52" s="1"/>
  <c r="F49" i="52"/>
  <c r="F45" i="52" s="1"/>
  <c r="F66" i="52" s="1"/>
  <c r="N49" i="52"/>
  <c r="D50" i="52"/>
  <c r="E50" i="52"/>
  <c r="K50" i="52" s="1"/>
  <c r="L50" i="52" s="1"/>
  <c r="F50" i="52"/>
  <c r="F46" i="52" s="1"/>
  <c r="N50" i="52"/>
  <c r="D51" i="52"/>
  <c r="E51" i="52"/>
  <c r="K51" i="52" s="1"/>
  <c r="F51" i="52"/>
  <c r="F47" i="52" s="1"/>
  <c r="F76" i="52" s="1"/>
  <c r="N51" i="52"/>
  <c r="A52" i="52"/>
  <c r="B52" i="52"/>
  <c r="C52" i="52"/>
  <c r="D52" i="52"/>
  <c r="A53" i="52"/>
  <c r="B53" i="52"/>
  <c r="C53" i="52"/>
  <c r="D53" i="52"/>
  <c r="E53" i="52"/>
  <c r="N53" i="52"/>
  <c r="A54" i="52"/>
  <c r="B54" i="52"/>
  <c r="C54" i="52"/>
  <c r="D54" i="52"/>
  <c r="E54" i="52"/>
  <c r="N54" i="52"/>
  <c r="A55" i="52"/>
  <c r="B55" i="52"/>
  <c r="C55" i="52"/>
  <c r="D55" i="52"/>
  <c r="E55" i="52"/>
  <c r="N55" i="52"/>
  <c r="A56" i="52"/>
  <c r="B56" i="52"/>
  <c r="C56" i="52"/>
  <c r="D56" i="52"/>
  <c r="E56" i="52"/>
  <c r="K56" i="52" s="1"/>
  <c r="N56" i="52"/>
  <c r="A57" i="52"/>
  <c r="B57" i="52"/>
  <c r="C57" i="52"/>
  <c r="E57" i="52"/>
  <c r="K57" i="52" s="1"/>
  <c r="N57" i="52"/>
  <c r="A58" i="52"/>
  <c r="B58" i="52"/>
  <c r="C58" i="52"/>
  <c r="E58" i="52"/>
  <c r="K58" i="52" s="1"/>
  <c r="L58" i="52" s="1"/>
  <c r="N58" i="52"/>
  <c r="A59" i="52"/>
  <c r="B59" i="52"/>
  <c r="C59" i="52"/>
  <c r="E59" i="52"/>
  <c r="K59" i="52"/>
  <c r="N59" i="52"/>
  <c r="A60" i="52"/>
  <c r="B60" i="52"/>
  <c r="C60" i="52"/>
  <c r="E60" i="52"/>
  <c r="K60" i="52"/>
  <c r="L60" i="52" s="1"/>
  <c r="N60" i="52"/>
  <c r="A61" i="52"/>
  <c r="B61" i="52"/>
  <c r="C61" i="52"/>
  <c r="E61" i="52"/>
  <c r="K61" i="52" s="1"/>
  <c r="N61" i="52"/>
  <c r="A62" i="52"/>
  <c r="B62" i="52"/>
  <c r="C62" i="52"/>
  <c r="D62" i="52"/>
  <c r="E62" i="52"/>
  <c r="K62" i="52"/>
  <c r="N62" i="52"/>
  <c r="A63" i="52"/>
  <c r="B63" i="52"/>
  <c r="C63" i="52"/>
  <c r="D63" i="52"/>
  <c r="E63" i="52"/>
  <c r="K63" i="52" s="1"/>
  <c r="L63" i="52" s="1"/>
  <c r="N63" i="52"/>
  <c r="A64" i="52"/>
  <c r="B64" i="52"/>
  <c r="A65" i="52"/>
  <c r="B65" i="52"/>
  <c r="C65" i="52"/>
  <c r="D65" i="52"/>
  <c r="D66" i="52"/>
  <c r="D67" i="52"/>
  <c r="D68" i="52"/>
  <c r="A69" i="52"/>
  <c r="B69" i="52"/>
  <c r="C69" i="52"/>
  <c r="D69" i="52"/>
  <c r="D70" i="52"/>
  <c r="D71" i="52"/>
  <c r="D72" i="52"/>
  <c r="A73" i="52"/>
  <c r="B73" i="52"/>
  <c r="C73" i="52"/>
  <c r="D73" i="52"/>
  <c r="C74" i="52"/>
  <c r="D74" i="52"/>
  <c r="C75" i="52"/>
  <c r="D75" i="52"/>
  <c r="C76" i="52"/>
  <c r="D76" i="52"/>
  <c r="A77" i="52"/>
  <c r="B77" i="52"/>
  <c r="C77" i="52"/>
  <c r="D77" i="52"/>
  <c r="D78" i="52"/>
  <c r="D79" i="52"/>
  <c r="D80" i="52"/>
  <c r="A81" i="52"/>
  <c r="B81" i="52"/>
  <c r="C81" i="52"/>
  <c r="D81" i="52"/>
  <c r="D82" i="52"/>
  <c r="D83" i="52"/>
  <c r="D84" i="52"/>
  <c r="A85" i="52"/>
  <c r="B85" i="52"/>
  <c r="C85" i="52"/>
  <c r="D85" i="52"/>
  <c r="C86" i="52"/>
  <c r="D86" i="52"/>
  <c r="C87" i="52"/>
  <c r="D87" i="52"/>
  <c r="C88" i="52"/>
  <c r="D88" i="52"/>
  <c r="A89" i="52"/>
  <c r="B89" i="52"/>
  <c r="A90" i="52"/>
  <c r="B90" i="52"/>
  <c r="E101" i="52"/>
  <c r="K101" i="52" s="1"/>
  <c r="L101" i="52" s="1"/>
  <c r="M101" i="52" s="1"/>
  <c r="F101" i="52"/>
  <c r="F117" i="52" s="1"/>
  <c r="F112" i="52" s="1"/>
  <c r="N101" i="52"/>
  <c r="N117" i="52"/>
  <c r="E102" i="52"/>
  <c r="E118" i="52" s="1"/>
  <c r="K118" i="52" s="1"/>
  <c r="F102" i="52"/>
  <c r="F118" i="52" s="1"/>
  <c r="F113" i="52" s="1"/>
  <c r="N102" i="52"/>
  <c r="N118" i="52" s="1"/>
  <c r="A103" i="52"/>
  <c r="A119" i="52" s="1"/>
  <c r="B103" i="52"/>
  <c r="B119" i="52" s="1"/>
  <c r="H103" i="52"/>
  <c r="C114" i="52"/>
  <c r="D114" i="52"/>
  <c r="A115" i="52"/>
  <c r="B115" i="52"/>
  <c r="C115" i="52"/>
  <c r="D115" i="52"/>
  <c r="A116" i="52"/>
  <c r="B116" i="52"/>
  <c r="C116" i="52"/>
  <c r="D116" i="52"/>
  <c r="A117" i="52"/>
  <c r="B117" i="52"/>
  <c r="C117" i="52"/>
  <c r="D117" i="52"/>
  <c r="A118" i="52"/>
  <c r="B118" i="52"/>
  <c r="C118" i="52"/>
  <c r="D118" i="52"/>
  <c r="C119" i="52"/>
  <c r="D119" i="52"/>
  <c r="F119" i="52"/>
  <c r="F120" i="52"/>
  <c r="F121" i="52"/>
  <c r="F122" i="52"/>
  <c r="F123" i="52"/>
  <c r="C124" i="52"/>
  <c r="D124" i="52"/>
  <c r="F124" i="52"/>
  <c r="K235" i="52"/>
  <c r="L235" i="52" s="1"/>
  <c r="K236" i="52"/>
  <c r="L236" i="52" s="1"/>
  <c r="M236" i="52" s="1"/>
  <c r="C237" i="52"/>
  <c r="D237" i="52"/>
  <c r="D238" i="52"/>
  <c r="D239" i="52"/>
  <c r="D240" i="52"/>
  <c r="D241" i="52"/>
  <c r="C242" i="52"/>
  <c r="D242" i="52"/>
  <c r="C243" i="52"/>
  <c r="D243" i="52"/>
  <c r="C244" i="52"/>
  <c r="D244" i="52"/>
  <c r="C245" i="52"/>
  <c r="D245" i="52"/>
  <c r="C246" i="52"/>
  <c r="D246" i="52"/>
  <c r="A247" i="52"/>
  <c r="B247" i="52"/>
  <c r="C247" i="52"/>
  <c r="D247" i="52"/>
  <c r="C248" i="52"/>
  <c r="D248" i="52"/>
  <c r="C249" i="52"/>
  <c r="D249" i="52"/>
  <c r="C250" i="52"/>
  <c r="D250" i="52"/>
  <c r="C251" i="52"/>
  <c r="D251" i="52"/>
  <c r="C252" i="52"/>
  <c r="D252" i="52"/>
  <c r="C253" i="52"/>
  <c r="D253" i="52"/>
  <c r="C254" i="52"/>
  <c r="D254" i="52"/>
  <c r="C255" i="52"/>
  <c r="D255" i="52"/>
  <c r="C256" i="52"/>
  <c r="D256" i="52"/>
  <c r="F259" i="52"/>
  <c r="F275" i="52" s="1"/>
  <c r="F260" i="52"/>
  <c r="F281" i="52" s="1"/>
  <c r="F261" i="52"/>
  <c r="F282" i="52" s="1"/>
  <c r="F262" i="52"/>
  <c r="F283" i="52" s="1"/>
  <c r="F263" i="52"/>
  <c r="F289" i="52" s="1"/>
  <c r="D264" i="52"/>
  <c r="D265" i="52"/>
  <c r="D266" i="52"/>
  <c r="D267" i="52"/>
  <c r="D268" i="52"/>
  <c r="A269" i="52"/>
  <c r="B269" i="52"/>
  <c r="C269" i="52"/>
  <c r="D269" i="52"/>
  <c r="E269" i="52"/>
  <c r="K269" i="52" s="1"/>
  <c r="L269" i="52" s="1"/>
  <c r="N269" i="52"/>
  <c r="A270" i="52"/>
  <c r="B270" i="52"/>
  <c r="C270" i="52"/>
  <c r="D270" i="52"/>
  <c r="E270" i="52"/>
  <c r="K270" i="52" s="1"/>
  <c r="N270" i="52"/>
  <c r="N268" i="52" s="1"/>
  <c r="A271" i="52"/>
  <c r="B271" i="52"/>
  <c r="C271" i="52"/>
  <c r="D271" i="52"/>
  <c r="E271" i="52"/>
  <c r="K271" i="52"/>
  <c r="N271" i="52"/>
  <c r="A272" i="52"/>
  <c r="B272" i="52"/>
  <c r="C272" i="52"/>
  <c r="D272" i="52"/>
  <c r="E272" i="52"/>
  <c r="K272" i="52"/>
  <c r="L272" i="52" s="1"/>
  <c r="N272" i="52"/>
  <c r="A273" i="52"/>
  <c r="B273" i="52"/>
  <c r="C273" i="52"/>
  <c r="D273" i="52"/>
  <c r="E273" i="52"/>
  <c r="K273" i="52" s="1"/>
  <c r="L273" i="52" s="1"/>
  <c r="N273" i="52"/>
  <c r="A274" i="52"/>
  <c r="B274" i="52"/>
  <c r="C274" i="52"/>
  <c r="D274" i="52"/>
  <c r="E274" i="52"/>
  <c r="K274" i="52"/>
  <c r="L274" i="52" s="1"/>
  <c r="N274" i="52"/>
  <c r="A275" i="52"/>
  <c r="B275" i="52"/>
  <c r="D275" i="52"/>
  <c r="D276" i="52"/>
  <c r="D277" i="52"/>
  <c r="D278" i="52"/>
  <c r="D279" i="52"/>
  <c r="D357" i="52"/>
  <c r="D358" i="52"/>
  <c r="D359" i="52"/>
  <c r="A360" i="52"/>
  <c r="B360" i="52"/>
  <c r="D360" i="52"/>
  <c r="N360" i="52"/>
  <c r="A370" i="52"/>
  <c r="B370" i="52"/>
  <c r="C370" i="52"/>
  <c r="E370" i="52"/>
  <c r="K370" i="52" s="1"/>
  <c r="N370" i="52"/>
  <c r="E372" i="52"/>
  <c r="K372" i="52" s="1"/>
  <c r="N372" i="52"/>
  <c r="E376" i="52"/>
  <c r="K376" i="52" s="1"/>
  <c r="F376" i="52"/>
  <c r="N376" i="52"/>
  <c r="E377" i="52"/>
  <c r="K377" i="52" s="1"/>
  <c r="L377" i="52" s="1"/>
  <c r="M377" i="52" s="1"/>
  <c r="F377" i="52"/>
  <c r="N377" i="52"/>
  <c r="E378" i="52"/>
  <c r="K378" i="52" s="1"/>
  <c r="F378" i="52"/>
  <c r="N378" i="52"/>
  <c r="A394" i="52"/>
  <c r="B394" i="52"/>
  <c r="E394" i="52"/>
  <c r="K394" i="52" s="1"/>
  <c r="F394" i="52"/>
  <c r="F390" i="52" s="1"/>
  <c r="N394" i="52"/>
  <c r="E395" i="52"/>
  <c r="F395" i="52"/>
  <c r="F391" i="52" s="1"/>
  <c r="F412" i="52" s="1"/>
  <c r="N395" i="52"/>
  <c r="E396" i="52"/>
  <c r="K396" i="52" s="1"/>
  <c r="L396" i="52" s="1"/>
  <c r="M396" i="52" s="1"/>
  <c r="F396" i="52"/>
  <c r="F392" i="52"/>
  <c r="F429" i="52" s="1"/>
  <c r="N396" i="52"/>
  <c r="E397" i="52"/>
  <c r="F397" i="52"/>
  <c r="F393" i="52"/>
  <c r="F414" i="52" s="1"/>
  <c r="K397" i="52"/>
  <c r="L397" i="52" s="1"/>
  <c r="M397" i="52" s="1"/>
  <c r="N397" i="52"/>
  <c r="A398" i="52"/>
  <c r="B398" i="52"/>
  <c r="A399" i="52"/>
  <c r="B399" i="52"/>
  <c r="C399" i="52"/>
  <c r="D399" i="52"/>
  <c r="E399" i="52"/>
  <c r="K399" i="52" s="1"/>
  <c r="N399" i="52"/>
  <c r="A400" i="52"/>
  <c r="B400" i="52"/>
  <c r="C400" i="52"/>
  <c r="D400" i="52"/>
  <c r="E400" i="52"/>
  <c r="N400" i="52"/>
  <c r="A401" i="52"/>
  <c r="B401" i="52"/>
  <c r="C401" i="52"/>
  <c r="D401" i="52"/>
  <c r="E401" i="52"/>
  <c r="K401" i="52" s="1"/>
  <c r="L401" i="52" s="1"/>
  <c r="N401" i="52"/>
  <c r="A402" i="52"/>
  <c r="B402" i="52"/>
  <c r="C402" i="52"/>
  <c r="D402" i="52"/>
  <c r="E402" i="52"/>
  <c r="K402" i="52" s="1"/>
  <c r="N402" i="52"/>
  <c r="A403" i="52"/>
  <c r="B403" i="52"/>
  <c r="C403" i="52"/>
  <c r="E403" i="52"/>
  <c r="K403" i="52" s="1"/>
  <c r="N403" i="52"/>
  <c r="A404" i="52"/>
  <c r="B404" i="52"/>
  <c r="C404" i="52"/>
  <c r="E404" i="52"/>
  <c r="K404" i="52" s="1"/>
  <c r="N404" i="52"/>
  <c r="A405" i="52"/>
  <c r="B405" i="52"/>
  <c r="C405" i="52"/>
  <c r="E405" i="52"/>
  <c r="K405" i="52" s="1"/>
  <c r="N405" i="52"/>
  <c r="A406" i="52"/>
  <c r="B406" i="52"/>
  <c r="C406" i="52"/>
  <c r="E406" i="52"/>
  <c r="K406" i="52" s="1"/>
  <c r="N406" i="52"/>
  <c r="A407" i="52"/>
  <c r="B407" i="52"/>
  <c r="C407" i="52"/>
  <c r="E407" i="52"/>
  <c r="K407" i="52" s="1"/>
  <c r="N407" i="52"/>
  <c r="A408" i="52"/>
  <c r="B408" i="52"/>
  <c r="C408" i="52"/>
  <c r="E408" i="52"/>
  <c r="K408" i="52" s="1"/>
  <c r="L408" i="52" s="1"/>
  <c r="N408" i="52"/>
  <c r="A409" i="52"/>
  <c r="B409" i="52"/>
  <c r="E409" i="52"/>
  <c r="K409" i="52" s="1"/>
  <c r="N409" i="52"/>
  <c r="A410" i="52"/>
  <c r="B410" i="52"/>
  <c r="E410" i="52"/>
  <c r="A411" i="52"/>
  <c r="B411" i="52"/>
  <c r="A415" i="52"/>
  <c r="B415" i="52"/>
  <c r="E415" i="52"/>
  <c r="K415" i="52" s="1"/>
  <c r="F415" i="52"/>
  <c r="N415" i="52"/>
  <c r="E416" i="52"/>
  <c r="K416" i="52" s="1"/>
  <c r="F416" i="52"/>
  <c r="N416" i="52"/>
  <c r="E417" i="52"/>
  <c r="K417" i="52" s="1"/>
  <c r="L417" i="52" s="1"/>
  <c r="M417" i="52" s="1"/>
  <c r="F417" i="52"/>
  <c r="N417" i="52"/>
  <c r="E418" i="52"/>
  <c r="K418" i="52" s="1"/>
  <c r="L418" i="52" s="1"/>
  <c r="F418" i="52"/>
  <c r="N418" i="52"/>
  <c r="A419" i="52"/>
  <c r="B419" i="52"/>
  <c r="A423" i="52"/>
  <c r="B423" i="52"/>
  <c r="A427" i="52"/>
  <c r="B427" i="52"/>
  <c r="A431" i="52"/>
  <c r="B431" i="52"/>
  <c r="K431" i="52"/>
  <c r="L431" i="52" s="1"/>
  <c r="A432" i="52"/>
  <c r="B432" i="52"/>
  <c r="K432" i="52"/>
  <c r="L432" i="52"/>
  <c r="F435" i="52"/>
  <c r="B436" i="52"/>
  <c r="A437" i="52"/>
  <c r="B437" i="52"/>
  <c r="E437" i="52"/>
  <c r="K437" i="52" s="1"/>
  <c r="N437" i="52"/>
  <c r="K438" i="52"/>
  <c r="L438" i="52" s="1"/>
  <c r="M438" i="52" s="1"/>
  <c r="K439" i="52"/>
  <c r="L439" i="52" s="1"/>
  <c r="F469" i="52"/>
  <c r="F474" i="52" s="1"/>
  <c r="A471" i="52"/>
  <c r="B471" i="52"/>
  <c r="E471" i="52"/>
  <c r="K471" i="52"/>
  <c r="L471" i="52" s="1"/>
  <c r="M471" i="52" s="1"/>
  <c r="F494" i="52"/>
  <c r="A497" i="52"/>
  <c r="A532" i="52" s="1"/>
  <c r="B497" i="52"/>
  <c r="B532" i="52" s="1"/>
  <c r="D497" i="52"/>
  <c r="D532" i="52" s="1"/>
  <c r="E497" i="52"/>
  <c r="E532" i="52" s="1"/>
  <c r="K532" i="52" s="1"/>
  <c r="N497" i="52"/>
  <c r="N532" i="52" s="1"/>
  <c r="C499" i="52"/>
  <c r="C534" i="52" s="1"/>
  <c r="D499" i="52"/>
  <c r="D534" i="52" s="1"/>
  <c r="A500" i="52"/>
  <c r="A535" i="52" s="1"/>
  <c r="B500" i="52"/>
  <c r="B535" i="52" s="1"/>
  <c r="E500" i="52"/>
  <c r="N500" i="52"/>
  <c r="N535" i="52" s="1"/>
  <c r="A501" i="52"/>
  <c r="A536" i="52" s="1"/>
  <c r="B501" i="52"/>
  <c r="B536" i="52" s="1"/>
  <c r="E501" i="52"/>
  <c r="K501" i="52" s="1"/>
  <c r="N501" i="52"/>
  <c r="N536" i="52" s="1"/>
  <c r="A502" i="52"/>
  <c r="B502" i="52"/>
  <c r="B537" i="52" s="1"/>
  <c r="E502" i="52"/>
  <c r="E537" i="52" s="1"/>
  <c r="K537" i="52" s="1"/>
  <c r="N502" i="52"/>
  <c r="N537" i="52" s="1"/>
  <c r="A503" i="52"/>
  <c r="A538" i="52" s="1"/>
  <c r="B503" i="52"/>
  <c r="B538" i="52" s="1"/>
  <c r="E503" i="52"/>
  <c r="K503" i="52" s="1"/>
  <c r="N503" i="52"/>
  <c r="A504" i="52"/>
  <c r="A539" i="52" s="1"/>
  <c r="B504" i="52"/>
  <c r="B539" i="52" s="1"/>
  <c r="E504" i="52"/>
  <c r="K504" i="52" s="1"/>
  <c r="N504" i="52"/>
  <c r="N539" i="52" s="1"/>
  <c r="A505" i="52"/>
  <c r="A540" i="52" s="1"/>
  <c r="B505" i="52"/>
  <c r="B540" i="52" s="1"/>
  <c r="E505" i="52"/>
  <c r="K505" i="52" s="1"/>
  <c r="N505" i="52"/>
  <c r="N540" i="52" s="1"/>
  <c r="A506" i="52"/>
  <c r="A541" i="52" s="1"/>
  <c r="B506" i="52"/>
  <c r="B541" i="52" s="1"/>
  <c r="E506" i="52"/>
  <c r="E541" i="52" s="1"/>
  <c r="K541" i="52" s="1"/>
  <c r="L541" i="52" s="1"/>
  <c r="N506" i="52"/>
  <c r="N541" i="52" s="1"/>
  <c r="A507" i="52"/>
  <c r="A542" i="52" s="1"/>
  <c r="B507" i="52"/>
  <c r="B542" i="52" s="1"/>
  <c r="E507" i="52"/>
  <c r="K507" i="52" s="1"/>
  <c r="L507" i="52" s="1"/>
  <c r="N507" i="52"/>
  <c r="N542" i="52" s="1"/>
  <c r="A508" i="52"/>
  <c r="A543" i="52" s="1"/>
  <c r="B508" i="52"/>
  <c r="B543" i="52"/>
  <c r="E508" i="52"/>
  <c r="E543" i="52" s="1"/>
  <c r="K543" i="52" s="1"/>
  <c r="N508" i="52"/>
  <c r="N543" i="52" s="1"/>
  <c r="A509" i="52"/>
  <c r="A544" i="52"/>
  <c r="B509" i="52"/>
  <c r="B544" i="52" s="1"/>
  <c r="E509" i="52"/>
  <c r="N509" i="52"/>
  <c r="N544" i="52" s="1"/>
  <c r="A510" i="52"/>
  <c r="A545" i="52" s="1"/>
  <c r="B510" i="52"/>
  <c r="B545" i="52" s="1"/>
  <c r="E510" i="52"/>
  <c r="E545" i="52" s="1"/>
  <c r="K545" i="52" s="1"/>
  <c r="N510" i="52"/>
  <c r="N545" i="52" s="1"/>
  <c r="A511" i="52"/>
  <c r="A546" i="52" s="1"/>
  <c r="B511" i="52"/>
  <c r="B546" i="52" s="1"/>
  <c r="E511" i="52"/>
  <c r="E546" i="52" s="1"/>
  <c r="K546" i="52" s="1"/>
  <c r="L546" i="52" s="1"/>
  <c r="N511" i="52"/>
  <c r="N546" i="52" s="1"/>
  <c r="A512" i="52"/>
  <c r="A547" i="52" s="1"/>
  <c r="B512" i="52"/>
  <c r="B547" i="52" s="1"/>
  <c r="E512" i="52"/>
  <c r="K512" i="52" s="1"/>
  <c r="L512" i="52" s="1"/>
  <c r="M512" i="52" s="1"/>
  <c r="N512" i="52"/>
  <c r="N547" i="52" s="1"/>
  <c r="A513" i="52"/>
  <c r="B513" i="52"/>
  <c r="B548" i="52" s="1"/>
  <c r="E513" i="52"/>
  <c r="K513" i="52" s="1"/>
  <c r="L513" i="52" s="1"/>
  <c r="N513" i="52"/>
  <c r="N548" i="52" s="1"/>
  <c r="A514" i="52"/>
  <c r="A549" i="52" s="1"/>
  <c r="B514" i="52"/>
  <c r="B549" i="52" s="1"/>
  <c r="E514" i="52"/>
  <c r="E549" i="52" s="1"/>
  <c r="K549" i="52" s="1"/>
  <c r="N514" i="52"/>
  <c r="N549" i="52" s="1"/>
  <c r="A515" i="52"/>
  <c r="A550" i="52" s="1"/>
  <c r="B515" i="52"/>
  <c r="B550" i="52" s="1"/>
  <c r="E515" i="52"/>
  <c r="K515" i="52" s="1"/>
  <c r="L515" i="52" s="1"/>
  <c r="N515" i="52"/>
  <c r="N550" i="52" s="1"/>
  <c r="A516" i="52"/>
  <c r="A551" i="52" s="1"/>
  <c r="B516" i="52"/>
  <c r="B551" i="52" s="1"/>
  <c r="E516" i="52"/>
  <c r="E551" i="52" s="1"/>
  <c r="K551" i="52" s="1"/>
  <c r="L551" i="52" s="1"/>
  <c r="M551" i="52" s="1"/>
  <c r="N516" i="52"/>
  <c r="N551" i="52" s="1"/>
  <c r="A517" i="52"/>
  <c r="A552" i="52" s="1"/>
  <c r="B517" i="52"/>
  <c r="B552" i="52" s="1"/>
  <c r="E517" i="52"/>
  <c r="E552" i="52" s="1"/>
  <c r="K552" i="52" s="1"/>
  <c r="N517" i="52"/>
  <c r="N552" i="52" s="1"/>
  <c r="A518" i="52"/>
  <c r="A553" i="52" s="1"/>
  <c r="B518" i="52"/>
  <c r="B553" i="52" s="1"/>
  <c r="E518" i="52"/>
  <c r="K518" i="52" s="1"/>
  <c r="L518" i="52" s="1"/>
  <c r="N518" i="52"/>
  <c r="N553" i="52" s="1"/>
  <c r="A519" i="52"/>
  <c r="A554" i="52" s="1"/>
  <c r="B519" i="52"/>
  <c r="B554" i="52" s="1"/>
  <c r="E519" i="52"/>
  <c r="E554" i="52" s="1"/>
  <c r="K554" i="52" s="1"/>
  <c r="N519" i="52"/>
  <c r="N554" i="52" s="1"/>
  <c r="A520" i="52"/>
  <c r="A555" i="52" s="1"/>
  <c r="B520" i="52"/>
  <c r="B555" i="52" s="1"/>
  <c r="E520" i="52"/>
  <c r="K520" i="52"/>
  <c r="L520" i="52" s="1"/>
  <c r="M520" i="52" s="1"/>
  <c r="N520" i="52"/>
  <c r="N555" i="52" s="1"/>
  <c r="A521" i="52"/>
  <c r="A556" i="52" s="1"/>
  <c r="B521" i="52"/>
  <c r="B556" i="52" s="1"/>
  <c r="E521" i="52"/>
  <c r="N521" i="52"/>
  <c r="N556" i="52"/>
  <c r="A522" i="52"/>
  <c r="A557" i="52" s="1"/>
  <c r="B522" i="52"/>
  <c r="B557" i="52" s="1"/>
  <c r="E522" i="52"/>
  <c r="E557" i="52" s="1"/>
  <c r="K557" i="52" s="1"/>
  <c r="L557" i="52" s="1"/>
  <c r="N522" i="52"/>
  <c r="N557" i="52" s="1"/>
  <c r="A523" i="52"/>
  <c r="A558" i="52" s="1"/>
  <c r="B523" i="52"/>
  <c r="B558" i="52" s="1"/>
  <c r="E523" i="52"/>
  <c r="E558" i="52" s="1"/>
  <c r="K558" i="52" s="1"/>
  <c r="L558" i="52" s="1"/>
  <c r="N523" i="52"/>
  <c r="N558" i="52" s="1"/>
  <c r="A524" i="52"/>
  <c r="A559" i="52" s="1"/>
  <c r="B524" i="52"/>
  <c r="B559" i="52"/>
  <c r="E524" i="52"/>
  <c r="E559" i="52" s="1"/>
  <c r="K559" i="52" s="1"/>
  <c r="L559" i="52" s="1"/>
  <c r="N524" i="52"/>
  <c r="N559" i="52" s="1"/>
  <c r="A525" i="52"/>
  <c r="A560" i="52" s="1"/>
  <c r="B525" i="52"/>
  <c r="B560" i="52" s="1"/>
  <c r="E525" i="52"/>
  <c r="K525" i="52" s="1"/>
  <c r="L525" i="52" s="1"/>
  <c r="N525" i="52"/>
  <c r="N560" i="52" s="1"/>
  <c r="A526" i="52"/>
  <c r="A561" i="52" s="1"/>
  <c r="B526" i="52"/>
  <c r="B561" i="52" s="1"/>
  <c r="E526" i="52"/>
  <c r="E561" i="52" s="1"/>
  <c r="K561" i="52" s="1"/>
  <c r="N526" i="52"/>
  <c r="N561" i="52" s="1"/>
  <c r="A527" i="52"/>
  <c r="A562" i="52" s="1"/>
  <c r="B527" i="52"/>
  <c r="B562" i="52" s="1"/>
  <c r="E527" i="52"/>
  <c r="N527" i="52"/>
  <c r="N562" i="52" s="1"/>
  <c r="A528" i="52"/>
  <c r="A563" i="52" s="1"/>
  <c r="B528" i="52"/>
  <c r="B563" i="52" s="1"/>
  <c r="E528" i="52"/>
  <c r="E563" i="52" s="1"/>
  <c r="K563" i="52" s="1"/>
  <c r="N528" i="52"/>
  <c r="N563" i="52" s="1"/>
  <c r="C530" i="52"/>
  <c r="F530" i="52"/>
  <c r="F529" i="52" s="1"/>
  <c r="C531" i="52"/>
  <c r="F531" i="52"/>
  <c r="C532" i="52"/>
  <c r="F532" i="52"/>
  <c r="E533" i="52"/>
  <c r="F533" i="52"/>
  <c r="N533" i="52"/>
  <c r="A534" i="52"/>
  <c r="C535" i="52"/>
  <c r="D535" i="52"/>
  <c r="F535" i="52"/>
  <c r="C536" i="52"/>
  <c r="D536" i="52"/>
  <c r="F536" i="52"/>
  <c r="A537" i="52"/>
  <c r="C537" i="52"/>
  <c r="D537" i="52"/>
  <c r="F537" i="52"/>
  <c r="C538" i="52"/>
  <c r="D538" i="52"/>
  <c r="F538" i="52"/>
  <c r="N538" i="52"/>
  <c r="C539" i="52"/>
  <c r="D539" i="52"/>
  <c r="F539" i="52"/>
  <c r="C540" i="52"/>
  <c r="D540" i="52"/>
  <c r="F540" i="52"/>
  <c r="C541" i="52"/>
  <c r="D541" i="52"/>
  <c r="F541" i="52"/>
  <c r="C542" i="52"/>
  <c r="D542" i="52"/>
  <c r="F542" i="52"/>
  <c r="C543" i="52"/>
  <c r="D543" i="52"/>
  <c r="F543" i="52"/>
  <c r="C544" i="52"/>
  <c r="D544" i="52"/>
  <c r="F544" i="52"/>
  <c r="C545" i="52"/>
  <c r="D545" i="52"/>
  <c r="F545" i="52"/>
  <c r="C546" i="52"/>
  <c r="D546" i="52"/>
  <c r="F546" i="52"/>
  <c r="C547" i="52"/>
  <c r="D547" i="52"/>
  <c r="F547" i="52"/>
  <c r="A548" i="52"/>
  <c r="C548" i="52"/>
  <c r="D548" i="52"/>
  <c r="F548" i="52"/>
  <c r="C549" i="52"/>
  <c r="D549" i="52"/>
  <c r="F549" i="52"/>
  <c r="C550" i="52"/>
  <c r="D550" i="52"/>
  <c r="E550" i="52"/>
  <c r="K550" i="52" s="1"/>
  <c r="F550" i="52"/>
  <c r="C551" i="52"/>
  <c r="D551" i="52"/>
  <c r="F551" i="52"/>
  <c r="C552" i="52"/>
  <c r="D552" i="52"/>
  <c r="F552" i="52"/>
  <c r="C553" i="52"/>
  <c r="D553" i="52"/>
  <c r="F553" i="52"/>
  <c r="C554" i="52"/>
  <c r="D554" i="52"/>
  <c r="F554" i="52"/>
  <c r="C555" i="52"/>
  <c r="D555" i="52"/>
  <c r="E555" i="52"/>
  <c r="K555" i="52" s="1"/>
  <c r="F555" i="52"/>
  <c r="C556" i="52"/>
  <c r="D556" i="52"/>
  <c r="F556" i="52"/>
  <c r="C557" i="52"/>
  <c r="D557" i="52"/>
  <c r="F557" i="52"/>
  <c r="C558" i="52"/>
  <c r="D558" i="52"/>
  <c r="F558" i="52"/>
  <c r="C559" i="52"/>
  <c r="D559" i="52"/>
  <c r="F559" i="52"/>
  <c r="C560" i="52"/>
  <c r="D560" i="52"/>
  <c r="F560" i="52"/>
  <c r="C561" i="52"/>
  <c r="D561" i="52"/>
  <c r="F561" i="52"/>
  <c r="C562" i="52"/>
  <c r="D562" i="52"/>
  <c r="F562" i="52"/>
  <c r="C563" i="52"/>
  <c r="D563" i="52"/>
  <c r="F563" i="52"/>
  <c r="F708" i="52"/>
  <c r="A710" i="52"/>
  <c r="B710" i="52"/>
  <c r="D710" i="52"/>
  <c r="E710" i="52"/>
  <c r="K710" i="52" s="1"/>
  <c r="N710" i="52"/>
  <c r="C713" i="52"/>
  <c r="D713" i="52"/>
  <c r="C714" i="52"/>
  <c r="D714" i="52"/>
  <c r="A715" i="52"/>
  <c r="B715" i="52"/>
  <c r="E715" i="52"/>
  <c r="K715" i="52" s="1"/>
  <c r="N715" i="52"/>
  <c r="A716" i="52"/>
  <c r="B716" i="52"/>
  <c r="E716" i="52"/>
  <c r="K716" i="52" s="1"/>
  <c r="L716" i="52" s="1"/>
  <c r="M716" i="52" s="1"/>
  <c r="N716" i="52"/>
  <c r="A717" i="52"/>
  <c r="B717" i="52"/>
  <c r="E717" i="52"/>
  <c r="K717" i="52" s="1"/>
  <c r="N717" i="52"/>
  <c r="A718" i="52"/>
  <c r="B718" i="52"/>
  <c r="E718" i="52"/>
  <c r="K718" i="52" s="1"/>
  <c r="L718" i="52" s="1"/>
  <c r="N718" i="52"/>
  <c r="A719" i="52"/>
  <c r="B719" i="52"/>
  <c r="E719" i="52"/>
  <c r="K719" i="52" s="1"/>
  <c r="N719" i="52"/>
  <c r="A720" i="52"/>
  <c r="B720" i="52"/>
  <c r="E720" i="52"/>
  <c r="K720" i="52" s="1"/>
  <c r="L720" i="52" s="1"/>
  <c r="M720" i="52" s="1"/>
  <c r="N720" i="52"/>
  <c r="A721" i="52"/>
  <c r="B721" i="52"/>
  <c r="E721" i="52"/>
  <c r="K721" i="52" s="1"/>
  <c r="N721" i="52"/>
  <c r="A722" i="52"/>
  <c r="B722" i="52"/>
  <c r="E722" i="52"/>
  <c r="K722" i="52" s="1"/>
  <c r="N722" i="52"/>
  <c r="A723" i="52"/>
  <c r="B723" i="52"/>
  <c r="E723" i="52"/>
  <c r="K723" i="52" s="1"/>
  <c r="N723" i="52"/>
  <c r="A724" i="52"/>
  <c r="B724" i="52"/>
  <c r="E724" i="52"/>
  <c r="K724" i="52" s="1"/>
  <c r="L724" i="52" s="1"/>
  <c r="M724" i="52" s="1"/>
  <c r="N724" i="52"/>
  <c r="A725" i="52"/>
  <c r="B725" i="52"/>
  <c r="E725" i="52"/>
  <c r="K725" i="52" s="1"/>
  <c r="N725" i="52"/>
  <c r="A726" i="52"/>
  <c r="B726" i="52"/>
  <c r="E726" i="52"/>
  <c r="K726" i="52" s="1"/>
  <c r="N726" i="52"/>
  <c r="A727" i="52"/>
  <c r="B727" i="52"/>
  <c r="E727" i="52"/>
  <c r="K727" i="52"/>
  <c r="L727" i="52" s="1"/>
  <c r="N727" i="52"/>
  <c r="A728" i="52"/>
  <c r="B728" i="52"/>
  <c r="E728" i="52"/>
  <c r="K728" i="52" s="1"/>
  <c r="N728" i="52"/>
  <c r="A729" i="52"/>
  <c r="B729" i="52"/>
  <c r="E729" i="52"/>
  <c r="K729" i="52" s="1"/>
  <c r="N729" i="52"/>
  <c r="A730" i="52"/>
  <c r="B730" i="52"/>
  <c r="E730" i="52"/>
  <c r="K730" i="52" s="1"/>
  <c r="L730" i="52" s="1"/>
  <c r="N730" i="52"/>
  <c r="A731" i="52"/>
  <c r="B731" i="52"/>
  <c r="E731" i="52"/>
  <c r="K731" i="52" s="1"/>
  <c r="L731" i="52" s="1"/>
  <c r="N731" i="52"/>
  <c r="A732" i="52"/>
  <c r="B732" i="52"/>
  <c r="E732" i="52"/>
  <c r="K732" i="52" s="1"/>
  <c r="N732" i="52"/>
  <c r="A733" i="52"/>
  <c r="B733" i="52"/>
  <c r="E733" i="52"/>
  <c r="K733" i="52" s="1"/>
  <c r="N733" i="52"/>
  <c r="A734" i="52"/>
  <c r="B734" i="52"/>
  <c r="E734" i="52"/>
  <c r="K734" i="52" s="1"/>
  <c r="N734" i="52"/>
  <c r="A735" i="52"/>
  <c r="B735" i="52"/>
  <c r="E735" i="52"/>
  <c r="K735" i="52" s="1"/>
  <c r="N735" i="52"/>
  <c r="A736" i="52"/>
  <c r="B736" i="52"/>
  <c r="E736" i="52"/>
  <c r="K736" i="52" s="1"/>
  <c r="L736" i="52" s="1"/>
  <c r="M736" i="52" s="1"/>
  <c r="N736" i="52"/>
  <c r="A737" i="52"/>
  <c r="B737" i="52"/>
  <c r="E737" i="52"/>
  <c r="K737" i="52" s="1"/>
  <c r="N737" i="52"/>
  <c r="A738" i="52"/>
  <c r="B738" i="52"/>
  <c r="E738" i="52"/>
  <c r="K738" i="52" s="1"/>
  <c r="N738" i="52"/>
  <c r="A739" i="52"/>
  <c r="B739" i="52"/>
  <c r="E739" i="52"/>
  <c r="K739" i="52"/>
  <c r="L739" i="52" s="1"/>
  <c r="N739" i="52"/>
  <c r="A740" i="52"/>
  <c r="B740" i="52"/>
  <c r="E740" i="52"/>
  <c r="K740" i="52" s="1"/>
  <c r="N740" i="52"/>
  <c r="A811" i="52"/>
  <c r="K811" i="52"/>
  <c r="L811" i="52" s="1"/>
  <c r="F812" i="52"/>
  <c r="F813" i="52"/>
  <c r="F814" i="52"/>
  <c r="A5" i="51"/>
  <c r="B5" i="51"/>
  <c r="A6" i="51"/>
  <c r="B6" i="51"/>
  <c r="N7" i="51"/>
  <c r="O7" i="51"/>
  <c r="P7" i="51"/>
  <c r="Q7" i="51"/>
  <c r="R7" i="51"/>
  <c r="S7" i="51"/>
  <c r="N9" i="51"/>
  <c r="O9" i="51"/>
  <c r="P9" i="51"/>
  <c r="Q9" i="51"/>
  <c r="R9" i="51"/>
  <c r="S9" i="51"/>
  <c r="N11" i="51"/>
  <c r="O11" i="51"/>
  <c r="P11" i="51"/>
  <c r="Q11" i="51"/>
  <c r="R11" i="51"/>
  <c r="S11" i="51"/>
  <c r="N13" i="51"/>
  <c r="O13" i="51"/>
  <c r="P13" i="51"/>
  <c r="Q13" i="51"/>
  <c r="R13" i="51"/>
  <c r="S13" i="51"/>
  <c r="N15" i="51"/>
  <c r="O15" i="51"/>
  <c r="P15" i="51"/>
  <c r="Q15" i="51"/>
  <c r="R15" i="51"/>
  <c r="S15" i="51"/>
  <c r="A16" i="51"/>
  <c r="B16" i="51"/>
  <c r="C16" i="51"/>
  <c r="E16" i="51"/>
  <c r="F16" i="51"/>
  <c r="G16" i="51"/>
  <c r="H16" i="51"/>
  <c r="J16" i="51"/>
  <c r="A17" i="51"/>
  <c r="B17" i="51"/>
  <c r="C17" i="51"/>
  <c r="E17" i="51"/>
  <c r="F17" i="51"/>
  <c r="G17" i="51"/>
  <c r="H17" i="51"/>
  <c r="I17" i="51"/>
  <c r="A18" i="51"/>
  <c r="B18" i="51"/>
  <c r="C18" i="51"/>
  <c r="E18" i="51"/>
  <c r="F18" i="51"/>
  <c r="G18" i="51"/>
  <c r="H18" i="51"/>
  <c r="I18" i="51"/>
  <c r="A19" i="51"/>
  <c r="B19" i="51"/>
  <c r="C19" i="51"/>
  <c r="E19" i="51"/>
  <c r="F19" i="51"/>
  <c r="G19" i="51"/>
  <c r="H19" i="51"/>
  <c r="I19" i="51"/>
  <c r="A20" i="51"/>
  <c r="B20" i="51"/>
  <c r="C20" i="51"/>
  <c r="E20" i="51"/>
  <c r="F20" i="51"/>
  <c r="G20" i="51"/>
  <c r="I20" i="51"/>
  <c r="A21" i="51"/>
  <c r="B21" i="51"/>
  <c r="C21" i="51"/>
  <c r="E21" i="51"/>
  <c r="F21" i="51"/>
  <c r="G21" i="51"/>
  <c r="H21" i="51"/>
  <c r="I21" i="51"/>
  <c r="A22" i="51"/>
  <c r="B22" i="51"/>
  <c r="C22" i="51"/>
  <c r="E22" i="51"/>
  <c r="F22" i="51"/>
  <c r="G22" i="51"/>
  <c r="H22" i="51"/>
  <c r="I22" i="51"/>
  <c r="A23" i="51"/>
  <c r="B23" i="51"/>
  <c r="C23" i="51"/>
  <c r="E23" i="51"/>
  <c r="F23" i="51"/>
  <c r="G23" i="51"/>
  <c r="H23" i="51"/>
  <c r="I23" i="51"/>
  <c r="A24" i="51"/>
  <c r="B24" i="51"/>
  <c r="C24" i="51"/>
  <c r="E24" i="51"/>
  <c r="F24" i="51"/>
  <c r="G24" i="51"/>
  <c r="H24" i="51"/>
  <c r="I24" i="51"/>
  <c r="A25" i="51"/>
  <c r="B25" i="51"/>
  <c r="C25" i="51"/>
  <c r="E25" i="51"/>
  <c r="F25" i="51"/>
  <c r="G25" i="51"/>
  <c r="H25" i="51"/>
  <c r="I25" i="51"/>
  <c r="A26" i="51"/>
  <c r="B26" i="51"/>
  <c r="C26" i="51"/>
  <c r="E26" i="51"/>
  <c r="F26" i="51"/>
  <c r="G26" i="51"/>
  <c r="H26" i="51"/>
  <c r="I26" i="51"/>
  <c r="A27" i="51"/>
  <c r="B27" i="51"/>
  <c r="C27" i="51"/>
  <c r="D27" i="51"/>
  <c r="E27" i="51"/>
  <c r="F27" i="51"/>
  <c r="G27" i="51"/>
  <c r="H27" i="51"/>
  <c r="I27" i="51"/>
  <c r="J27" i="51"/>
  <c r="A28" i="51"/>
  <c r="B28" i="51"/>
  <c r="C28" i="51"/>
  <c r="D28" i="51"/>
  <c r="E28" i="51"/>
  <c r="F28" i="51"/>
  <c r="G28" i="51"/>
  <c r="H28" i="51"/>
  <c r="I28" i="51"/>
  <c r="J28" i="51"/>
  <c r="A29" i="51"/>
  <c r="B29" i="51"/>
  <c r="C29" i="51"/>
  <c r="D29" i="51"/>
  <c r="E29" i="51"/>
  <c r="F29" i="51"/>
  <c r="G29" i="51"/>
  <c r="H29" i="51"/>
  <c r="I29" i="51"/>
  <c r="J29" i="51"/>
  <c r="A30" i="51"/>
  <c r="B30" i="51"/>
  <c r="C30" i="51"/>
  <c r="D30" i="51"/>
  <c r="E30" i="51"/>
  <c r="F30" i="51"/>
  <c r="G30" i="51"/>
  <c r="K30" i="51" s="1"/>
  <c r="K15" i="51" s="1"/>
  <c r="H30" i="51"/>
  <c r="L30" i="51" s="1"/>
  <c r="L15" i="51" s="1"/>
  <c r="I30" i="51"/>
  <c r="J30" i="51"/>
  <c r="A31" i="51"/>
  <c r="B31" i="51"/>
  <c r="C31" i="51"/>
  <c r="D31" i="51"/>
  <c r="E31" i="51"/>
  <c r="F31" i="51"/>
  <c r="G31" i="51"/>
  <c r="H31" i="51"/>
  <c r="I31" i="51"/>
  <c r="J31" i="51"/>
  <c r="A32" i="51"/>
  <c r="B32" i="51"/>
  <c r="C32" i="51"/>
  <c r="E32" i="51"/>
  <c r="F32" i="51"/>
  <c r="G32" i="51"/>
  <c r="H32" i="51"/>
  <c r="I32" i="51"/>
  <c r="A33" i="51"/>
  <c r="B33" i="51"/>
  <c r="C33" i="51"/>
  <c r="E33" i="51"/>
  <c r="F33" i="51"/>
  <c r="G33" i="51"/>
  <c r="H33" i="51"/>
  <c r="I33" i="51"/>
  <c r="A34" i="51"/>
  <c r="B34" i="51"/>
  <c r="C34" i="51"/>
  <c r="E34" i="51"/>
  <c r="F34" i="51"/>
  <c r="G34" i="51"/>
  <c r="H34" i="51"/>
  <c r="I34" i="51"/>
  <c r="A35" i="51"/>
  <c r="B35" i="51"/>
  <c r="C35" i="51"/>
  <c r="D35" i="51"/>
  <c r="E35" i="51"/>
  <c r="F35" i="51"/>
  <c r="G35" i="51"/>
  <c r="H35" i="51"/>
  <c r="I35" i="51"/>
  <c r="J35" i="51"/>
  <c r="A36" i="51"/>
  <c r="B36" i="51"/>
  <c r="C36" i="51"/>
  <c r="E36" i="51"/>
  <c r="F36" i="51"/>
  <c r="G36" i="51"/>
  <c r="H36" i="51"/>
  <c r="I36" i="51"/>
  <c r="A37" i="51"/>
  <c r="B37" i="51"/>
  <c r="C37" i="51"/>
  <c r="E37" i="51"/>
  <c r="F37" i="51"/>
  <c r="G37" i="51"/>
  <c r="H37" i="51"/>
  <c r="I37" i="51"/>
  <c r="A38" i="51"/>
  <c r="B38" i="51"/>
  <c r="C38" i="51"/>
  <c r="E38" i="51"/>
  <c r="F38" i="51"/>
  <c r="G38" i="51"/>
  <c r="H38" i="51"/>
  <c r="I38" i="51"/>
  <c r="A39" i="51"/>
  <c r="B39" i="51"/>
  <c r="C39" i="51"/>
  <c r="E39" i="51"/>
  <c r="F39" i="51"/>
  <c r="G39" i="51"/>
  <c r="H39" i="51"/>
  <c r="I39" i="51"/>
  <c r="A40" i="51"/>
  <c r="B40" i="51"/>
  <c r="C40" i="51"/>
  <c r="E40" i="51"/>
  <c r="F40" i="51"/>
  <c r="G40" i="51"/>
  <c r="H40" i="51"/>
  <c r="I40" i="51"/>
  <c r="A41" i="51"/>
  <c r="B41" i="51"/>
  <c r="C41" i="51"/>
  <c r="E41" i="51"/>
  <c r="F41" i="51"/>
  <c r="G41" i="51"/>
  <c r="H41" i="51"/>
  <c r="I41" i="51"/>
  <c r="A42" i="51"/>
  <c r="B42" i="51"/>
  <c r="E42" i="51"/>
  <c r="F42" i="51"/>
  <c r="G42" i="51"/>
  <c r="H42" i="51"/>
  <c r="I42" i="51"/>
  <c r="J42" i="51"/>
  <c r="A43" i="51"/>
  <c r="B43" i="51"/>
  <c r="C43" i="51"/>
  <c r="D43" i="51"/>
  <c r="E43" i="51"/>
  <c r="F43" i="51"/>
  <c r="G43" i="51"/>
  <c r="H43" i="51"/>
  <c r="I43" i="51"/>
  <c r="J43" i="51"/>
  <c r="A44" i="51"/>
  <c r="B44" i="51"/>
  <c r="C44" i="51"/>
  <c r="D44" i="51"/>
  <c r="E44" i="51"/>
  <c r="F44" i="51"/>
  <c r="G44" i="51"/>
  <c r="H44" i="51"/>
  <c r="L44" i="51" s="1"/>
  <c r="I44" i="51"/>
  <c r="J44" i="51"/>
  <c r="A45" i="51"/>
  <c r="B45" i="51"/>
  <c r="C45" i="51"/>
  <c r="E45" i="51"/>
  <c r="F45" i="51"/>
  <c r="G45" i="51"/>
  <c r="H45" i="51"/>
  <c r="I45" i="51"/>
  <c r="A46" i="51"/>
  <c r="B46" i="51"/>
  <c r="C46" i="51"/>
  <c r="E46" i="51"/>
  <c r="F46" i="51"/>
  <c r="G46" i="51"/>
  <c r="H46" i="51"/>
  <c r="I46" i="51"/>
  <c r="A47" i="51"/>
  <c r="B47" i="51"/>
  <c r="C47" i="51"/>
  <c r="E47" i="51"/>
  <c r="F47" i="51"/>
  <c r="G47" i="51"/>
  <c r="H47" i="51"/>
  <c r="I47" i="51"/>
  <c r="A48" i="51"/>
  <c r="B48" i="51"/>
  <c r="C48" i="51"/>
  <c r="E48" i="51"/>
  <c r="F48" i="51"/>
  <c r="G48" i="51"/>
  <c r="H48" i="51"/>
  <c r="I48" i="51"/>
  <c r="A49" i="51"/>
  <c r="B49" i="51"/>
  <c r="C49" i="51"/>
  <c r="E49" i="51"/>
  <c r="F49" i="51"/>
  <c r="G49" i="51"/>
  <c r="H49" i="51"/>
  <c r="I49" i="51"/>
  <c r="A50" i="51"/>
  <c r="B50" i="51"/>
  <c r="C50" i="51"/>
  <c r="E50" i="51"/>
  <c r="F50" i="51"/>
  <c r="G50" i="51"/>
  <c r="H50" i="51"/>
  <c r="I50" i="51"/>
  <c r="A51" i="51"/>
  <c r="B51" i="51"/>
  <c r="C51" i="51"/>
  <c r="E51" i="51"/>
  <c r="F51" i="51"/>
  <c r="G51" i="51"/>
  <c r="H51" i="51"/>
  <c r="I51" i="51"/>
  <c r="A52" i="51"/>
  <c r="B52" i="51"/>
  <c r="C52" i="51"/>
  <c r="D52" i="51"/>
  <c r="E52" i="51"/>
  <c r="F52" i="51"/>
  <c r="G52" i="51"/>
  <c r="H52" i="51"/>
  <c r="I52" i="51"/>
  <c r="J52" i="51"/>
  <c r="A53" i="51"/>
  <c r="B53" i="51"/>
  <c r="C53" i="51"/>
  <c r="D53" i="51"/>
  <c r="E53" i="51"/>
  <c r="F53" i="51"/>
  <c r="G53" i="51"/>
  <c r="H53" i="51"/>
  <c r="I53" i="51"/>
  <c r="J53" i="51"/>
  <c r="A54" i="51"/>
  <c r="B54" i="51"/>
  <c r="G54" i="51"/>
  <c r="H54" i="51"/>
  <c r="I54" i="51"/>
  <c r="J54" i="51"/>
  <c r="A55" i="51"/>
  <c r="B55" i="51"/>
  <c r="C55" i="51"/>
  <c r="D55" i="51"/>
  <c r="E55" i="51"/>
  <c r="F55" i="51"/>
  <c r="G55" i="51"/>
  <c r="H55" i="51"/>
  <c r="I55" i="51"/>
  <c r="J55" i="51"/>
  <c r="A56" i="51"/>
  <c r="B56" i="51"/>
  <c r="C56" i="51"/>
  <c r="D56" i="51"/>
  <c r="E56" i="51"/>
  <c r="F56" i="51"/>
  <c r="G56" i="51"/>
  <c r="K56" i="51" s="1"/>
  <c r="H56" i="51"/>
  <c r="I56" i="51"/>
  <c r="J56" i="51"/>
  <c r="A57" i="51"/>
  <c r="B57" i="51"/>
  <c r="C57" i="51"/>
  <c r="D57" i="51"/>
  <c r="E57" i="51"/>
  <c r="F57" i="51"/>
  <c r="G57" i="51"/>
  <c r="H57" i="51"/>
  <c r="I57" i="51"/>
  <c r="J57" i="51"/>
  <c r="A58" i="51"/>
  <c r="B58" i="51"/>
  <c r="C58" i="51"/>
  <c r="D58" i="51"/>
  <c r="E58" i="51"/>
  <c r="F58" i="51"/>
  <c r="G58" i="51"/>
  <c r="H58" i="51"/>
  <c r="I58" i="51"/>
  <c r="J58" i="51"/>
  <c r="A59" i="51"/>
  <c r="B59" i="51"/>
  <c r="C59" i="51"/>
  <c r="D59" i="51"/>
  <c r="E59" i="51"/>
  <c r="F59" i="51"/>
  <c r="G59" i="51"/>
  <c r="H59" i="51"/>
  <c r="L59" i="51" s="1"/>
  <c r="I59" i="51"/>
  <c r="J59" i="51"/>
  <c r="A60" i="51"/>
  <c r="B60" i="51"/>
  <c r="C60" i="51"/>
  <c r="D60" i="51"/>
  <c r="E60" i="51"/>
  <c r="F60" i="51"/>
  <c r="G60" i="51"/>
  <c r="H60" i="51"/>
  <c r="I60" i="51"/>
  <c r="J60" i="51"/>
  <c r="A61" i="51"/>
  <c r="B61" i="51"/>
  <c r="G61" i="51"/>
  <c r="H61" i="51"/>
  <c r="I61" i="51"/>
  <c r="J61" i="51"/>
  <c r="A62" i="51"/>
  <c r="B62" i="51"/>
  <c r="C62" i="51"/>
  <c r="D62" i="51"/>
  <c r="E62" i="51"/>
  <c r="F62" i="51"/>
  <c r="G62" i="51"/>
  <c r="K62" i="51" s="1"/>
  <c r="H62" i="51"/>
  <c r="I62" i="51"/>
  <c r="M62" i="51" s="1"/>
  <c r="J62" i="51"/>
  <c r="L62" i="51" s="1"/>
  <c r="A63" i="51"/>
  <c r="B63" i="51"/>
  <c r="C63" i="51"/>
  <c r="D63" i="51"/>
  <c r="E63" i="51"/>
  <c r="F63" i="51"/>
  <c r="G63" i="51"/>
  <c r="K63" i="51" s="1"/>
  <c r="H63" i="51"/>
  <c r="I63" i="51"/>
  <c r="J63" i="51"/>
  <c r="A64" i="51"/>
  <c r="B64" i="51"/>
  <c r="C64" i="51"/>
  <c r="D64" i="51"/>
  <c r="E64" i="51"/>
  <c r="F64" i="51"/>
  <c r="G64" i="51"/>
  <c r="H64" i="51"/>
  <c r="I64" i="51"/>
  <c r="J64" i="51"/>
  <c r="A65" i="51"/>
  <c r="B65" i="51"/>
  <c r="C65" i="51"/>
  <c r="D65" i="51"/>
  <c r="E65" i="51"/>
  <c r="F65" i="51"/>
  <c r="G65" i="51"/>
  <c r="H65" i="51"/>
  <c r="I65" i="51"/>
  <c r="J65" i="51"/>
  <c r="A66" i="51"/>
  <c r="B66" i="51"/>
  <c r="C66" i="51"/>
  <c r="D66" i="51"/>
  <c r="E66" i="51"/>
  <c r="F66" i="51"/>
  <c r="G66" i="51"/>
  <c r="H66" i="51"/>
  <c r="I66" i="51"/>
  <c r="J66" i="51"/>
  <c r="A67" i="51"/>
  <c r="B67" i="51"/>
  <c r="C67" i="51"/>
  <c r="D67" i="51"/>
  <c r="E67" i="51"/>
  <c r="F67" i="51"/>
  <c r="G67" i="51"/>
  <c r="K67" i="51" s="1"/>
  <c r="H67" i="51"/>
  <c r="I67" i="51"/>
  <c r="J67" i="51"/>
  <c r="A68" i="51"/>
  <c r="B68" i="51"/>
  <c r="C68" i="51"/>
  <c r="D68" i="51"/>
  <c r="E68" i="51"/>
  <c r="F68" i="51"/>
  <c r="G68" i="51"/>
  <c r="H68" i="51"/>
  <c r="I68" i="51"/>
  <c r="J68" i="51"/>
  <c r="A69" i="51"/>
  <c r="B69" i="51"/>
  <c r="C69" i="51"/>
  <c r="D69" i="51"/>
  <c r="E69" i="51"/>
  <c r="F69" i="51"/>
  <c r="G69" i="51"/>
  <c r="H69" i="51"/>
  <c r="I69" i="51"/>
  <c r="J69" i="51"/>
  <c r="A70" i="51"/>
  <c r="B70" i="51"/>
  <c r="C70" i="51"/>
  <c r="D70" i="51"/>
  <c r="E70" i="51"/>
  <c r="F70" i="51"/>
  <c r="G70" i="51"/>
  <c r="H70" i="51"/>
  <c r="I70" i="51"/>
  <c r="J70" i="51"/>
  <c r="A71" i="51"/>
  <c r="B71" i="51"/>
  <c r="C71" i="51"/>
  <c r="D71" i="51"/>
  <c r="E71" i="51"/>
  <c r="F71" i="51"/>
  <c r="G71" i="51"/>
  <c r="H71" i="51"/>
  <c r="I71" i="51"/>
  <c r="J71" i="51"/>
  <c r="L71" i="51" s="1"/>
  <c r="A72" i="51"/>
  <c r="B72" i="51"/>
  <c r="C72" i="51"/>
  <c r="D72" i="51"/>
  <c r="E72" i="51"/>
  <c r="F72" i="51"/>
  <c r="G72" i="51"/>
  <c r="K72" i="51" s="1"/>
  <c r="H72" i="51"/>
  <c r="I72" i="51"/>
  <c r="J72" i="51"/>
  <c r="A73" i="51"/>
  <c r="B73" i="51"/>
  <c r="C73" i="51"/>
  <c r="D73" i="51"/>
  <c r="E73" i="51"/>
  <c r="F73" i="51"/>
  <c r="G73" i="51"/>
  <c r="H73" i="51"/>
  <c r="I73" i="51"/>
  <c r="M73" i="51" s="1"/>
  <c r="J73" i="51"/>
  <c r="A74" i="51"/>
  <c r="B74" i="51"/>
  <c r="C74" i="51"/>
  <c r="D74" i="51"/>
  <c r="E74" i="51"/>
  <c r="F74" i="51"/>
  <c r="G74" i="51"/>
  <c r="H74" i="51"/>
  <c r="I74" i="51"/>
  <c r="J74" i="51"/>
  <c r="A75" i="51"/>
  <c r="B75" i="51"/>
  <c r="C75" i="51"/>
  <c r="D75" i="51"/>
  <c r="E75" i="51"/>
  <c r="F75" i="51"/>
  <c r="G75" i="51"/>
  <c r="H75" i="51"/>
  <c r="I75" i="51"/>
  <c r="J75" i="51"/>
  <c r="A76" i="51"/>
  <c r="B76" i="51"/>
  <c r="C76" i="51"/>
  <c r="D76" i="51"/>
  <c r="E76" i="51"/>
  <c r="F76" i="51"/>
  <c r="G76" i="51"/>
  <c r="H76" i="51"/>
  <c r="I76" i="51"/>
  <c r="J76" i="51"/>
  <c r="A77" i="51"/>
  <c r="B77" i="51"/>
  <c r="C77" i="51"/>
  <c r="E77" i="51"/>
  <c r="F77" i="51"/>
  <c r="G77" i="51"/>
  <c r="H77" i="51"/>
  <c r="I77" i="51"/>
  <c r="A78" i="51"/>
  <c r="B78" i="51"/>
  <c r="C78" i="51"/>
  <c r="E78" i="51"/>
  <c r="F78" i="51"/>
  <c r="G78" i="51"/>
  <c r="H78" i="51"/>
  <c r="I78" i="51"/>
  <c r="A79" i="51"/>
  <c r="B79" i="51"/>
  <c r="C79" i="51"/>
  <c r="E79" i="51"/>
  <c r="F79" i="51"/>
  <c r="G79" i="51"/>
  <c r="H79" i="51"/>
  <c r="I79" i="51"/>
  <c r="A80" i="51"/>
  <c r="B80" i="51"/>
  <c r="C80" i="51"/>
  <c r="E80" i="51"/>
  <c r="F80" i="51"/>
  <c r="G80" i="51"/>
  <c r="H80" i="51"/>
  <c r="I80" i="51"/>
  <c r="A81" i="51"/>
  <c r="B81" i="51"/>
  <c r="C81" i="51"/>
  <c r="E81" i="51"/>
  <c r="F81" i="51"/>
  <c r="G81" i="51"/>
  <c r="H81" i="51"/>
  <c r="I81" i="51"/>
  <c r="A82" i="51"/>
  <c r="B82" i="51"/>
  <c r="C82" i="51"/>
  <c r="D82" i="51"/>
  <c r="E82" i="51"/>
  <c r="F82" i="51"/>
  <c r="G82" i="51"/>
  <c r="H82" i="51"/>
  <c r="I82" i="51"/>
  <c r="J82" i="51"/>
  <c r="A83" i="51"/>
  <c r="B83" i="51"/>
  <c r="C83" i="51"/>
  <c r="D83" i="51"/>
  <c r="E83" i="51"/>
  <c r="F83" i="51"/>
  <c r="G83" i="51"/>
  <c r="H83" i="51"/>
  <c r="I83" i="51"/>
  <c r="J83" i="51"/>
  <c r="A84" i="51"/>
  <c r="B84" i="51"/>
  <c r="C84" i="51"/>
  <c r="D84" i="51"/>
  <c r="E84" i="51"/>
  <c r="F84" i="51"/>
  <c r="G84" i="51"/>
  <c r="H84" i="51"/>
  <c r="I84" i="51"/>
  <c r="M84" i="51"/>
  <c r="J84" i="51"/>
  <c r="A85" i="51"/>
  <c r="B85" i="51"/>
  <c r="C85" i="51"/>
  <c r="D85" i="51"/>
  <c r="E85" i="51"/>
  <c r="F85" i="51"/>
  <c r="G85" i="51"/>
  <c r="H85" i="51"/>
  <c r="I85" i="51"/>
  <c r="J85" i="51"/>
  <c r="A86" i="51"/>
  <c r="B86" i="51"/>
  <c r="C86" i="51"/>
  <c r="E86" i="51"/>
  <c r="F86" i="51"/>
  <c r="G86" i="51"/>
  <c r="H86" i="51"/>
  <c r="I86" i="51"/>
  <c r="A87" i="51"/>
  <c r="B87" i="51"/>
  <c r="C87" i="51"/>
  <c r="E87" i="51"/>
  <c r="F87" i="51"/>
  <c r="G87" i="51"/>
  <c r="H87" i="51"/>
  <c r="I87" i="51"/>
  <c r="J87" i="51"/>
  <c r="A88" i="51"/>
  <c r="B88" i="51"/>
  <c r="A89" i="51"/>
  <c r="B89" i="51"/>
  <c r="A90" i="51"/>
  <c r="B90" i="51"/>
  <c r="A91" i="51"/>
  <c r="B91" i="51"/>
  <c r="A92" i="51"/>
  <c r="B92" i="51"/>
  <c r="A93" i="51"/>
  <c r="B93" i="51"/>
  <c r="A94" i="51"/>
  <c r="B94" i="51"/>
  <c r="J94" i="51"/>
  <c r="A99" i="51"/>
  <c r="B99" i="51"/>
  <c r="C99" i="51"/>
  <c r="E99" i="51"/>
  <c r="F99" i="51"/>
  <c r="G99" i="51"/>
  <c r="H99" i="51"/>
  <c r="I99" i="51"/>
  <c r="J99" i="51"/>
  <c r="A100" i="51"/>
  <c r="B100" i="51"/>
  <c r="C100" i="51"/>
  <c r="D100" i="51"/>
  <c r="E100" i="51"/>
  <c r="F100" i="51"/>
  <c r="G100" i="51"/>
  <c r="K100" i="51" s="1"/>
  <c r="H100" i="51"/>
  <c r="I100" i="51"/>
  <c r="J100" i="51"/>
  <c r="A101" i="51"/>
  <c r="B101" i="51"/>
  <c r="C101" i="51"/>
  <c r="D101" i="51"/>
  <c r="E101" i="51"/>
  <c r="F101" i="51"/>
  <c r="G101" i="51"/>
  <c r="H101" i="51"/>
  <c r="I101" i="51"/>
  <c r="J101" i="51"/>
  <c r="A102" i="51"/>
  <c r="B102" i="51"/>
  <c r="C102" i="51"/>
  <c r="E102" i="51"/>
  <c r="F102" i="51"/>
  <c r="G102" i="51"/>
  <c r="H102" i="51"/>
  <c r="I102" i="51"/>
  <c r="A103" i="51"/>
  <c r="B103" i="51"/>
  <c r="C103" i="51"/>
  <c r="E103" i="51"/>
  <c r="F103" i="51"/>
  <c r="G103" i="51"/>
  <c r="H103" i="51"/>
  <c r="I103" i="51"/>
  <c r="A104" i="51"/>
  <c r="B104" i="51"/>
  <c r="C104" i="51"/>
  <c r="D104" i="51"/>
  <c r="E104" i="51"/>
  <c r="F104" i="51"/>
  <c r="G104" i="51"/>
  <c r="H104" i="51"/>
  <c r="I104" i="51"/>
  <c r="J104" i="51"/>
  <c r="A105" i="51"/>
  <c r="B105" i="51"/>
  <c r="C105" i="51"/>
  <c r="D105" i="51"/>
  <c r="E105" i="51"/>
  <c r="F105" i="51"/>
  <c r="G105" i="51"/>
  <c r="H105" i="51"/>
  <c r="I105" i="51"/>
  <c r="J105" i="51"/>
  <c r="A106" i="51"/>
  <c r="B106" i="51"/>
  <c r="C106" i="51"/>
  <c r="D106" i="51"/>
  <c r="E106" i="51"/>
  <c r="F106" i="51"/>
  <c r="G106" i="51"/>
  <c r="H106" i="51"/>
  <c r="I106" i="51"/>
  <c r="J106" i="51"/>
  <c r="A107" i="51"/>
  <c r="B107" i="51"/>
  <c r="C107" i="51"/>
  <c r="D107" i="51"/>
  <c r="E107" i="51"/>
  <c r="F107" i="51"/>
  <c r="G107" i="51"/>
  <c r="H107" i="51"/>
  <c r="I107" i="51"/>
  <c r="J107" i="51"/>
  <c r="A108" i="51"/>
  <c r="B108" i="51"/>
  <c r="C108" i="51"/>
  <c r="D108" i="51"/>
  <c r="E108" i="51"/>
  <c r="F108" i="51"/>
  <c r="G108" i="51"/>
  <c r="H108" i="51"/>
  <c r="I108" i="51"/>
  <c r="J108" i="51"/>
  <c r="A109" i="51"/>
  <c r="B109" i="51"/>
  <c r="C109" i="51"/>
  <c r="D109" i="51"/>
  <c r="E109" i="51"/>
  <c r="F109" i="51"/>
  <c r="G109" i="51"/>
  <c r="H109" i="51"/>
  <c r="I109" i="51"/>
  <c r="J109" i="51"/>
  <c r="A110" i="51"/>
  <c r="B110" i="51"/>
  <c r="C110" i="51"/>
  <c r="D110" i="51"/>
  <c r="E110" i="51"/>
  <c r="F110" i="51"/>
  <c r="G110" i="51"/>
  <c r="H110" i="51"/>
  <c r="I110" i="51"/>
  <c r="J110" i="51"/>
  <c r="A111" i="51"/>
  <c r="B111" i="51"/>
  <c r="C111" i="51"/>
  <c r="E111" i="51"/>
  <c r="F111" i="51"/>
  <c r="G111" i="51"/>
  <c r="H111" i="51"/>
  <c r="I111" i="51"/>
  <c r="A112" i="51"/>
  <c r="B112" i="51"/>
  <c r="C112" i="51"/>
  <c r="D112" i="51"/>
  <c r="E112" i="51"/>
  <c r="F112" i="51"/>
  <c r="G112" i="51"/>
  <c r="H112" i="51"/>
  <c r="I112" i="51"/>
  <c r="J112" i="51"/>
  <c r="A113" i="51"/>
  <c r="B113" i="51"/>
  <c r="C113" i="51"/>
  <c r="D113" i="51"/>
  <c r="E113" i="51"/>
  <c r="F113" i="51"/>
  <c r="G113" i="51"/>
  <c r="H113" i="51"/>
  <c r="I113" i="51"/>
  <c r="J113" i="51"/>
  <c r="K113" i="51" s="1"/>
  <c r="A114" i="51"/>
  <c r="B114" i="51"/>
  <c r="C114" i="51"/>
  <c r="D114" i="51"/>
  <c r="E114" i="51"/>
  <c r="F114" i="51"/>
  <c r="G114" i="51"/>
  <c r="H114" i="51"/>
  <c r="I114" i="51"/>
  <c r="J114" i="51"/>
  <c r="A115" i="51"/>
  <c r="B115" i="51"/>
  <c r="C115" i="51"/>
  <c r="D115" i="51"/>
  <c r="E115" i="51"/>
  <c r="F115" i="51"/>
  <c r="G115" i="51"/>
  <c r="H115" i="51"/>
  <c r="I115" i="51"/>
  <c r="J115" i="51"/>
  <c r="A116" i="51"/>
  <c r="B116" i="51"/>
  <c r="C116" i="51"/>
  <c r="D116" i="51"/>
  <c r="E116" i="51"/>
  <c r="F116" i="51"/>
  <c r="G116" i="51"/>
  <c r="H116" i="51"/>
  <c r="I116" i="51"/>
  <c r="J116" i="51"/>
  <c r="K116" i="51" s="1"/>
  <c r="A117" i="51"/>
  <c r="B117" i="51"/>
  <c r="C117" i="51"/>
  <c r="D117" i="51"/>
  <c r="E117" i="51"/>
  <c r="F117" i="51"/>
  <c r="G117" i="51"/>
  <c r="H117" i="51"/>
  <c r="I117" i="51"/>
  <c r="J117" i="51"/>
  <c r="A118" i="51"/>
  <c r="B118" i="51"/>
  <c r="C118" i="51"/>
  <c r="D118" i="51"/>
  <c r="E118" i="51"/>
  <c r="F118" i="51"/>
  <c r="G118" i="51"/>
  <c r="H118" i="51"/>
  <c r="I118" i="51"/>
  <c r="J118" i="51"/>
  <c r="A119" i="51"/>
  <c r="B119" i="51"/>
  <c r="C119" i="51"/>
  <c r="D119" i="51"/>
  <c r="E119" i="51"/>
  <c r="F119" i="51"/>
  <c r="G119" i="51"/>
  <c r="H119" i="51"/>
  <c r="I119" i="51"/>
  <c r="J119" i="51"/>
  <c r="A120" i="51"/>
  <c r="B120" i="51"/>
  <c r="C120" i="51"/>
  <c r="D120" i="51"/>
  <c r="E120" i="51"/>
  <c r="F120" i="51"/>
  <c r="G120" i="51"/>
  <c r="H120" i="51"/>
  <c r="I120" i="51"/>
  <c r="J120" i="51"/>
  <c r="A121" i="51"/>
  <c r="B121" i="51"/>
  <c r="C121" i="51"/>
  <c r="E121" i="51"/>
  <c r="F121" i="51"/>
  <c r="G121" i="51"/>
  <c r="H121" i="51"/>
  <c r="I121" i="51"/>
  <c r="A122" i="51"/>
  <c r="B122" i="51"/>
  <c r="C122" i="51"/>
  <c r="E122" i="51"/>
  <c r="F122" i="51"/>
  <c r="G122" i="51"/>
  <c r="H122" i="51"/>
  <c r="I122" i="51"/>
  <c r="A123" i="51"/>
  <c r="B123" i="51"/>
  <c r="C123" i="51"/>
  <c r="D123" i="51"/>
  <c r="E123" i="51"/>
  <c r="F123" i="51"/>
  <c r="G123" i="51"/>
  <c r="H123" i="51"/>
  <c r="I123" i="51"/>
  <c r="J123" i="51"/>
  <c r="A124" i="51"/>
  <c r="B124" i="51"/>
  <c r="C124" i="51"/>
  <c r="E124" i="51"/>
  <c r="F124" i="51"/>
  <c r="G124" i="51"/>
  <c r="H124" i="51"/>
  <c r="I124" i="51"/>
  <c r="A125" i="51"/>
  <c r="B125" i="51"/>
  <c r="C125" i="51"/>
  <c r="E125" i="51"/>
  <c r="F125" i="51"/>
  <c r="G125" i="51"/>
  <c r="H125" i="51"/>
  <c r="I125" i="51"/>
  <c r="A126" i="51"/>
  <c r="B126" i="51"/>
  <c r="C126" i="51"/>
  <c r="E126" i="51"/>
  <c r="F126" i="51"/>
  <c r="G126" i="51"/>
  <c r="H126" i="51"/>
  <c r="I126" i="51"/>
  <c r="A127" i="51"/>
  <c r="B127" i="51"/>
  <c r="C127" i="51"/>
  <c r="E127" i="51"/>
  <c r="F127" i="51"/>
  <c r="G127" i="51"/>
  <c r="H127" i="51"/>
  <c r="I127" i="51"/>
  <c r="A128" i="51"/>
  <c r="B128" i="51"/>
  <c r="C128" i="51"/>
  <c r="E128" i="51"/>
  <c r="F128" i="51"/>
  <c r="G128" i="51"/>
  <c r="H128" i="51"/>
  <c r="I128" i="51"/>
  <c r="A129" i="51"/>
  <c r="B129" i="51"/>
  <c r="C129" i="51"/>
  <c r="D129" i="51"/>
  <c r="E129" i="51"/>
  <c r="F129" i="51"/>
  <c r="G129" i="51"/>
  <c r="H129" i="51"/>
  <c r="I129" i="51"/>
  <c r="J129" i="51"/>
  <c r="A130" i="51"/>
  <c r="B130" i="51"/>
  <c r="C130" i="51"/>
  <c r="E130" i="51"/>
  <c r="F130" i="51"/>
  <c r="G130" i="51"/>
  <c r="H130" i="51"/>
  <c r="I130" i="51"/>
  <c r="A131" i="51"/>
  <c r="B131" i="51"/>
  <c r="C131" i="51"/>
  <c r="E131" i="51"/>
  <c r="F131" i="51"/>
  <c r="G131" i="51"/>
  <c r="H131" i="51"/>
  <c r="I131" i="51"/>
  <c r="A132" i="51"/>
  <c r="B132" i="51"/>
  <c r="C132" i="51"/>
  <c r="E132" i="51"/>
  <c r="F132" i="51"/>
  <c r="G132" i="51"/>
  <c r="H132" i="51"/>
  <c r="I132" i="51"/>
  <c r="A133" i="51"/>
  <c r="B133" i="51"/>
  <c r="C133" i="51"/>
  <c r="E133" i="51"/>
  <c r="F133" i="51"/>
  <c r="G133" i="51"/>
  <c r="H133" i="51"/>
  <c r="I133" i="51"/>
  <c r="A134" i="51"/>
  <c r="B134" i="51"/>
  <c r="C134" i="51"/>
  <c r="E134" i="51"/>
  <c r="F134" i="51"/>
  <c r="G134" i="51"/>
  <c r="H134" i="51"/>
  <c r="I134" i="51"/>
  <c r="A135" i="51"/>
  <c r="B135" i="51"/>
  <c r="C135" i="51"/>
  <c r="E135" i="51"/>
  <c r="F135" i="51"/>
  <c r="G135" i="51"/>
  <c r="H135" i="51"/>
  <c r="I135" i="51"/>
  <c r="A136" i="51"/>
  <c r="B136" i="51"/>
  <c r="C136" i="51"/>
  <c r="E136" i="51"/>
  <c r="F136" i="51"/>
  <c r="G136" i="51"/>
  <c r="H136" i="51"/>
  <c r="I136" i="51"/>
  <c r="A137" i="51"/>
  <c r="B137" i="51"/>
  <c r="C137" i="51"/>
  <c r="D137" i="51"/>
  <c r="E137" i="51"/>
  <c r="F137" i="51"/>
  <c r="G137" i="51"/>
  <c r="H137" i="51"/>
  <c r="I137" i="51"/>
  <c r="J137" i="51"/>
  <c r="A138" i="51"/>
  <c r="B138" i="51"/>
  <c r="C138" i="51"/>
  <c r="D138" i="51"/>
  <c r="E138" i="51"/>
  <c r="F138" i="51"/>
  <c r="G138" i="51"/>
  <c r="H138" i="51"/>
  <c r="I138" i="51"/>
  <c r="J138" i="51"/>
  <c r="K138" i="51" s="1"/>
  <c r="K137" i="51" s="1"/>
  <c r="A139" i="51"/>
  <c r="B139" i="51"/>
  <c r="C139" i="51"/>
  <c r="D139" i="51"/>
  <c r="E139" i="51"/>
  <c r="F139" i="51"/>
  <c r="G139" i="51"/>
  <c r="H139" i="51"/>
  <c r="I139" i="51"/>
  <c r="J139" i="51"/>
  <c r="A140" i="51"/>
  <c r="B140" i="51"/>
  <c r="C140" i="51"/>
  <c r="D140" i="51"/>
  <c r="E140" i="51"/>
  <c r="F140" i="51"/>
  <c r="G140" i="51"/>
  <c r="H140" i="51"/>
  <c r="I140" i="51"/>
  <c r="J140" i="51"/>
  <c r="A141" i="51"/>
  <c r="B141" i="51"/>
  <c r="C141" i="51"/>
  <c r="D141" i="51"/>
  <c r="E141" i="51"/>
  <c r="F141" i="51"/>
  <c r="G141" i="51"/>
  <c r="H141" i="51"/>
  <c r="A142" i="51"/>
  <c r="B142" i="51"/>
  <c r="A143" i="51"/>
  <c r="B143" i="51"/>
  <c r="A144" i="51"/>
  <c r="B144" i="51"/>
  <c r="A145" i="51"/>
  <c r="B145" i="51"/>
  <c r="A146" i="51"/>
  <c r="B146" i="51"/>
  <c r="A147" i="51"/>
  <c r="B147" i="51"/>
  <c r="E147" i="51"/>
  <c r="F147" i="51"/>
  <c r="J147" i="51"/>
  <c r="A148" i="51"/>
  <c r="B148" i="51"/>
  <c r="C148" i="51"/>
  <c r="E148" i="51"/>
  <c r="F148" i="51"/>
  <c r="G148" i="51"/>
  <c r="H148" i="51"/>
  <c r="I148" i="51"/>
  <c r="A149" i="51"/>
  <c r="B149" i="51"/>
  <c r="C149" i="51"/>
  <c r="E149" i="51"/>
  <c r="F149" i="51"/>
  <c r="G149" i="51"/>
  <c r="H149" i="51"/>
  <c r="I149" i="51"/>
  <c r="A150" i="51"/>
  <c r="B150" i="51"/>
  <c r="C150" i="51"/>
  <c r="E150" i="51"/>
  <c r="F150" i="51"/>
  <c r="G150" i="51"/>
  <c r="H150" i="51"/>
  <c r="I150" i="51"/>
  <c r="A151" i="51"/>
  <c r="B151" i="51"/>
  <c r="C151" i="51"/>
  <c r="E151" i="51"/>
  <c r="F151" i="51"/>
  <c r="G151" i="51"/>
  <c r="H151" i="51"/>
  <c r="I151" i="51"/>
  <c r="A152" i="51"/>
  <c r="B152" i="51"/>
  <c r="C152" i="51"/>
  <c r="E152" i="51"/>
  <c r="F152" i="51"/>
  <c r="G152" i="51"/>
  <c r="H152" i="51"/>
  <c r="I152" i="51"/>
  <c r="A153" i="51"/>
  <c r="B153" i="51"/>
  <c r="C153" i="51"/>
  <c r="D153" i="51"/>
  <c r="E153" i="51"/>
  <c r="F153" i="51"/>
  <c r="G153" i="51"/>
  <c r="H153" i="51"/>
  <c r="I153" i="51"/>
  <c r="J153" i="51"/>
  <c r="A154" i="51"/>
  <c r="B154" i="51"/>
  <c r="C154" i="51"/>
  <c r="E154" i="51"/>
  <c r="F154" i="51"/>
  <c r="G154" i="51"/>
  <c r="H154" i="51"/>
  <c r="I154" i="51"/>
  <c r="A155" i="51"/>
  <c r="B155" i="51"/>
  <c r="C155" i="51"/>
  <c r="E155" i="51"/>
  <c r="F155" i="51"/>
  <c r="G155" i="51"/>
  <c r="H155" i="51"/>
  <c r="I155" i="51"/>
  <c r="A156" i="51"/>
  <c r="B156" i="51"/>
  <c r="C156" i="51"/>
  <c r="E156" i="51"/>
  <c r="F156" i="51"/>
  <c r="G156" i="51"/>
  <c r="H156" i="51"/>
  <c r="I156" i="51"/>
  <c r="A157" i="51"/>
  <c r="B157" i="51"/>
  <c r="C157" i="51"/>
  <c r="E157" i="51"/>
  <c r="F157" i="51"/>
  <c r="G157" i="51"/>
  <c r="H157" i="51"/>
  <c r="I157" i="51"/>
  <c r="A158" i="51"/>
  <c r="B158" i="51"/>
  <c r="C158" i="51"/>
  <c r="E158" i="51"/>
  <c r="F158" i="51"/>
  <c r="G158" i="51"/>
  <c r="H158" i="51"/>
  <c r="I158" i="51"/>
  <c r="A159" i="51"/>
  <c r="B159" i="51"/>
  <c r="C159" i="51"/>
  <c r="E159" i="51"/>
  <c r="F159" i="51"/>
  <c r="G159" i="51"/>
  <c r="H159" i="51"/>
  <c r="I159" i="51"/>
  <c r="A160" i="51"/>
  <c r="B160" i="51"/>
  <c r="C160" i="51"/>
  <c r="E160" i="51"/>
  <c r="F160" i="51"/>
  <c r="G160" i="51"/>
  <c r="H160" i="51"/>
  <c r="I160" i="51"/>
  <c r="A161" i="51"/>
  <c r="B161" i="51"/>
  <c r="C161" i="51"/>
  <c r="E161" i="51"/>
  <c r="F161" i="51"/>
  <c r="G161" i="51"/>
  <c r="H161" i="51"/>
  <c r="I161" i="51"/>
  <c r="A162" i="51"/>
  <c r="B162" i="51"/>
  <c r="C162" i="51"/>
  <c r="E162" i="51"/>
  <c r="F162" i="51"/>
  <c r="G162" i="51"/>
  <c r="H162" i="51"/>
  <c r="I162" i="51"/>
  <c r="A163" i="51"/>
  <c r="B163" i="51"/>
  <c r="C163" i="51"/>
  <c r="E163" i="51"/>
  <c r="F163" i="51"/>
  <c r="G163" i="51"/>
  <c r="H163" i="51"/>
  <c r="I163" i="51"/>
  <c r="A164" i="51"/>
  <c r="B164" i="51"/>
  <c r="C164" i="51"/>
  <c r="D164" i="51"/>
  <c r="E164" i="51"/>
  <c r="F164" i="51"/>
  <c r="G164" i="51"/>
  <c r="H164" i="51"/>
  <c r="I164" i="51"/>
  <c r="J164" i="51"/>
  <c r="A165" i="51"/>
  <c r="B165" i="51"/>
  <c r="C165" i="51"/>
  <c r="E165" i="51"/>
  <c r="F165" i="51"/>
  <c r="G165" i="51"/>
  <c r="H165" i="51"/>
  <c r="I165" i="51"/>
  <c r="A166" i="51"/>
  <c r="B166" i="51"/>
  <c r="C166" i="51"/>
  <c r="E166" i="51"/>
  <c r="F166" i="51"/>
  <c r="G166" i="51"/>
  <c r="H166" i="51"/>
  <c r="I166" i="51"/>
  <c r="A167" i="51"/>
  <c r="B167" i="51"/>
  <c r="C167" i="51"/>
  <c r="E167" i="51"/>
  <c r="F167" i="51"/>
  <c r="G167" i="51"/>
  <c r="H167" i="51"/>
  <c r="I167" i="51"/>
  <c r="A168" i="51"/>
  <c r="B168" i="51"/>
  <c r="C168" i="51"/>
  <c r="E168" i="51"/>
  <c r="F168" i="51"/>
  <c r="G168" i="51"/>
  <c r="H168" i="51"/>
  <c r="I168" i="51"/>
  <c r="A169" i="51"/>
  <c r="B169" i="51"/>
  <c r="C169" i="51"/>
  <c r="E169" i="51"/>
  <c r="F169" i="51"/>
  <c r="G169" i="51"/>
  <c r="H169" i="51"/>
  <c r="I169" i="51"/>
  <c r="A170" i="51"/>
  <c r="B170" i="51"/>
  <c r="C170" i="51"/>
  <c r="E170" i="51"/>
  <c r="F170" i="51"/>
  <c r="G170" i="51"/>
  <c r="H170" i="51"/>
  <c r="I170" i="51"/>
  <c r="A171" i="51"/>
  <c r="B171" i="51"/>
  <c r="C171" i="51"/>
  <c r="E171" i="51"/>
  <c r="F171" i="51"/>
  <c r="G171" i="51"/>
  <c r="H171" i="51"/>
  <c r="I171" i="51"/>
  <c r="A172" i="51"/>
  <c r="B172" i="51"/>
  <c r="C172" i="51"/>
  <c r="D172" i="51"/>
  <c r="E172" i="51"/>
  <c r="F172" i="51"/>
  <c r="G172" i="51"/>
  <c r="H172" i="51"/>
  <c r="I172" i="51"/>
  <c r="J172" i="51"/>
  <c r="A173" i="51"/>
  <c r="B173" i="51"/>
  <c r="C173" i="51"/>
  <c r="E173" i="51"/>
  <c r="F173" i="51"/>
  <c r="G173" i="51"/>
  <c r="H173" i="51"/>
  <c r="I173" i="51"/>
  <c r="A174" i="51"/>
  <c r="B174" i="51"/>
  <c r="C174" i="51"/>
  <c r="E174" i="51"/>
  <c r="F174" i="51"/>
  <c r="G174" i="51"/>
  <c r="H174" i="51"/>
  <c r="I174" i="51"/>
  <c r="J174" i="51"/>
  <c r="A175" i="51"/>
  <c r="B175" i="51"/>
  <c r="A176" i="51"/>
  <c r="B176" i="51"/>
  <c r="A177" i="51"/>
  <c r="B177" i="51"/>
  <c r="A178" i="51"/>
  <c r="B178" i="51"/>
  <c r="A179" i="51"/>
  <c r="B179" i="51"/>
  <c r="A180" i="51"/>
  <c r="B180" i="51"/>
  <c r="A181" i="51"/>
  <c r="B181" i="51"/>
  <c r="A182" i="51"/>
  <c r="B182" i="51"/>
  <c r="C182" i="51"/>
  <c r="E182" i="51"/>
  <c r="F182" i="51"/>
  <c r="J182" i="51"/>
  <c r="A183" i="51"/>
  <c r="B183" i="51"/>
  <c r="C183" i="51"/>
  <c r="E183" i="51"/>
  <c r="F183" i="51"/>
  <c r="G183" i="51"/>
  <c r="H183" i="51"/>
  <c r="I183" i="51"/>
  <c r="A184" i="51"/>
  <c r="B184" i="51"/>
  <c r="C184" i="51"/>
  <c r="E184" i="51"/>
  <c r="F184" i="51"/>
  <c r="G184" i="51"/>
  <c r="H184" i="51"/>
  <c r="I184" i="51"/>
  <c r="A185" i="51"/>
  <c r="B185" i="51"/>
  <c r="C185" i="51"/>
  <c r="E185" i="51"/>
  <c r="F185" i="51"/>
  <c r="G185" i="51"/>
  <c r="H185" i="51"/>
  <c r="I185" i="51"/>
  <c r="A186" i="51"/>
  <c r="B186" i="51"/>
  <c r="C186" i="51"/>
  <c r="E186" i="51"/>
  <c r="F186" i="51"/>
  <c r="G186" i="51"/>
  <c r="H186" i="51"/>
  <c r="I186" i="51"/>
  <c r="A187" i="51"/>
  <c r="B187" i="51"/>
  <c r="C187" i="51"/>
  <c r="E187" i="51"/>
  <c r="F187" i="51"/>
  <c r="G187" i="51"/>
  <c r="H187" i="51"/>
  <c r="I187" i="51"/>
  <c r="A188" i="51"/>
  <c r="B188" i="51"/>
  <c r="C188" i="51"/>
  <c r="E188" i="51"/>
  <c r="F188" i="51"/>
  <c r="G188" i="51"/>
  <c r="H188" i="51"/>
  <c r="I188" i="51"/>
  <c r="A189" i="51"/>
  <c r="B189" i="51"/>
  <c r="C189" i="51"/>
  <c r="E189" i="51"/>
  <c r="F189" i="51"/>
  <c r="G189" i="51"/>
  <c r="H189" i="51"/>
  <c r="I189" i="51"/>
  <c r="A190" i="51"/>
  <c r="B190" i="51"/>
  <c r="C190" i="51"/>
  <c r="E190" i="51"/>
  <c r="F190" i="51"/>
  <c r="G190" i="51"/>
  <c r="H190" i="51"/>
  <c r="I190" i="51"/>
  <c r="A191" i="51"/>
  <c r="B191" i="51"/>
  <c r="C191" i="51"/>
  <c r="E191" i="51"/>
  <c r="F191" i="51"/>
  <c r="G191" i="51"/>
  <c r="H191" i="51"/>
  <c r="I191" i="51"/>
  <c r="A192" i="51"/>
  <c r="B192" i="51"/>
  <c r="C192" i="51"/>
  <c r="E192" i="51"/>
  <c r="F192" i="51"/>
  <c r="G192" i="51"/>
  <c r="H192" i="51"/>
  <c r="I192" i="51"/>
  <c r="A193" i="51"/>
  <c r="B193" i="51"/>
  <c r="C193" i="51"/>
  <c r="E193" i="51"/>
  <c r="F193" i="51"/>
  <c r="G193" i="51"/>
  <c r="H193" i="51"/>
  <c r="I193" i="51"/>
  <c r="A194" i="51"/>
  <c r="B194" i="51"/>
  <c r="C194" i="51"/>
  <c r="E194" i="51"/>
  <c r="F194" i="51"/>
  <c r="G194" i="51"/>
  <c r="H194" i="51"/>
  <c r="I194" i="51"/>
  <c r="A195" i="51"/>
  <c r="B195" i="51"/>
  <c r="C195" i="51"/>
  <c r="E195" i="51"/>
  <c r="F195" i="51"/>
  <c r="G195" i="51"/>
  <c r="H195" i="51"/>
  <c r="I195" i="51"/>
  <c r="A196" i="51"/>
  <c r="B196" i="51"/>
  <c r="C196" i="51"/>
  <c r="E196" i="51"/>
  <c r="F196" i="51"/>
  <c r="G196" i="51"/>
  <c r="H196" i="51"/>
  <c r="I196" i="51"/>
  <c r="A197" i="51"/>
  <c r="B197" i="51"/>
  <c r="C197" i="51"/>
  <c r="E197" i="51"/>
  <c r="F197" i="51"/>
  <c r="G197" i="51"/>
  <c r="H197" i="51"/>
  <c r="I197" i="51"/>
  <c r="A198" i="51"/>
  <c r="B198" i="51"/>
  <c r="C198" i="51"/>
  <c r="E198" i="51"/>
  <c r="F198" i="51"/>
  <c r="G198" i="51"/>
  <c r="H198" i="51"/>
  <c r="I198" i="51"/>
  <c r="A199" i="51"/>
  <c r="B199" i="51"/>
  <c r="C199" i="51"/>
  <c r="D199" i="51"/>
  <c r="E199" i="51"/>
  <c r="F199" i="51"/>
  <c r="G199" i="51"/>
  <c r="H199" i="51"/>
  <c r="I199" i="51"/>
  <c r="J199" i="51"/>
  <c r="A200" i="51"/>
  <c r="B200" i="51"/>
  <c r="C200" i="51"/>
  <c r="E200" i="51"/>
  <c r="F200" i="51"/>
  <c r="G200" i="51"/>
  <c r="H200" i="51"/>
  <c r="I200" i="51"/>
  <c r="A201" i="51"/>
  <c r="B201" i="51"/>
  <c r="C201" i="51"/>
  <c r="E201" i="51"/>
  <c r="F201" i="51"/>
  <c r="G201" i="51"/>
  <c r="H201" i="51"/>
  <c r="I201" i="51"/>
  <c r="A202" i="51"/>
  <c r="B202" i="51"/>
  <c r="C202" i="51"/>
  <c r="E202" i="51"/>
  <c r="F202" i="51"/>
  <c r="G202" i="51"/>
  <c r="H202" i="51"/>
  <c r="I202" i="51"/>
  <c r="A203" i="51"/>
  <c r="B203" i="51"/>
  <c r="C203" i="51"/>
  <c r="E203" i="51"/>
  <c r="F203" i="51"/>
  <c r="G203" i="51"/>
  <c r="H203" i="51"/>
  <c r="I203" i="51"/>
  <c r="A204" i="51"/>
  <c r="B204" i="51"/>
  <c r="C204" i="51"/>
  <c r="E204" i="51"/>
  <c r="F204" i="51"/>
  <c r="G204" i="51"/>
  <c r="H204" i="51"/>
  <c r="I204" i="51"/>
  <c r="A205" i="51"/>
  <c r="B205" i="51"/>
  <c r="C205" i="51"/>
  <c r="E205" i="51"/>
  <c r="F205" i="51"/>
  <c r="G205" i="51"/>
  <c r="H205" i="51"/>
  <c r="I205" i="51"/>
  <c r="A206" i="51"/>
  <c r="B206" i="51"/>
  <c r="C206" i="51"/>
  <c r="E206" i="51"/>
  <c r="F206" i="51"/>
  <c r="G206" i="51"/>
  <c r="H206" i="51"/>
  <c r="I206" i="51"/>
  <c r="A207" i="51"/>
  <c r="B207" i="51"/>
  <c r="C207" i="51"/>
  <c r="D207" i="51"/>
  <c r="E207" i="51"/>
  <c r="F207" i="51"/>
  <c r="G207" i="51"/>
  <c r="H207" i="51"/>
  <c r="I207" i="51"/>
  <c r="J207" i="51"/>
  <c r="A208" i="51"/>
  <c r="B208" i="51"/>
  <c r="C208" i="51"/>
  <c r="D208" i="51"/>
  <c r="E208" i="51"/>
  <c r="F208" i="51"/>
  <c r="G208" i="51"/>
  <c r="H208" i="51"/>
  <c r="L208" i="51" s="1"/>
  <c r="L207" i="51" s="1"/>
  <c r="I208" i="51"/>
  <c r="M208" i="51" s="1"/>
  <c r="M207" i="51" s="1"/>
  <c r="J208" i="51"/>
  <c r="A209" i="51"/>
  <c r="B209" i="51"/>
  <c r="C209" i="51"/>
  <c r="D209" i="51"/>
  <c r="E209" i="51"/>
  <c r="F209" i="51"/>
  <c r="G209" i="51"/>
  <c r="H209" i="51"/>
  <c r="I209" i="51"/>
  <c r="A210" i="51"/>
  <c r="B210" i="51"/>
  <c r="C210" i="51"/>
  <c r="E210" i="51"/>
  <c r="F210" i="51"/>
  <c r="G210" i="51"/>
  <c r="H210" i="51"/>
  <c r="I210" i="51"/>
  <c r="A211" i="51"/>
  <c r="B211" i="51"/>
  <c r="C211" i="51"/>
  <c r="E211" i="51"/>
  <c r="F211" i="51"/>
  <c r="G211" i="51"/>
  <c r="H211" i="51"/>
  <c r="I211" i="51"/>
  <c r="J211" i="51"/>
  <c r="A212" i="51"/>
  <c r="B212" i="51"/>
  <c r="A213" i="51"/>
  <c r="B213" i="51"/>
  <c r="A214" i="51"/>
  <c r="B214" i="51"/>
  <c r="A215" i="51"/>
  <c r="B215" i="51"/>
  <c r="A216" i="51"/>
  <c r="B216" i="51"/>
  <c r="C216" i="51"/>
  <c r="E216" i="51"/>
  <c r="F216" i="51"/>
  <c r="A217" i="51"/>
  <c r="B217" i="51"/>
  <c r="C217" i="51"/>
  <c r="E217" i="51"/>
  <c r="F217" i="51"/>
  <c r="G217" i="51"/>
  <c r="H217" i="51"/>
  <c r="I217" i="51"/>
  <c r="A218" i="51"/>
  <c r="B218" i="51"/>
  <c r="C218" i="51"/>
  <c r="E218" i="51"/>
  <c r="F218" i="51"/>
  <c r="G218" i="51"/>
  <c r="H218" i="51"/>
  <c r="I218" i="51"/>
  <c r="A219" i="51"/>
  <c r="B219" i="51"/>
  <c r="C219" i="51"/>
  <c r="E219" i="51"/>
  <c r="F219" i="51"/>
  <c r="G219" i="51"/>
  <c r="H219" i="51"/>
  <c r="I219" i="51"/>
  <c r="A220" i="51"/>
  <c r="B220" i="51"/>
  <c r="C220" i="51"/>
  <c r="E220" i="51"/>
  <c r="F220" i="51"/>
  <c r="G220" i="51"/>
  <c r="H220" i="51"/>
  <c r="I220" i="51"/>
  <c r="A221" i="51"/>
  <c r="B221" i="51"/>
  <c r="C221" i="51"/>
  <c r="E221" i="51"/>
  <c r="F221" i="51"/>
  <c r="G221" i="51"/>
  <c r="H221" i="51"/>
  <c r="I221" i="51"/>
  <c r="A222" i="51"/>
  <c r="B222" i="51"/>
  <c r="C222" i="51"/>
  <c r="E222" i="51"/>
  <c r="F222" i="51"/>
  <c r="G222" i="51"/>
  <c r="H222" i="51"/>
  <c r="I222" i="51"/>
  <c r="A223" i="51"/>
  <c r="B223" i="51"/>
  <c r="C223" i="51"/>
  <c r="E223" i="51"/>
  <c r="F223" i="51"/>
  <c r="G223" i="51"/>
  <c r="H223" i="51"/>
  <c r="I223" i="51"/>
  <c r="A224" i="51"/>
  <c r="B224" i="51"/>
  <c r="C224" i="51"/>
  <c r="E224" i="51"/>
  <c r="F224" i="51"/>
  <c r="G224" i="51"/>
  <c r="H224" i="51"/>
  <c r="I224" i="51"/>
  <c r="A225" i="51"/>
  <c r="B225" i="51"/>
  <c r="C225" i="51"/>
  <c r="E225" i="51"/>
  <c r="F225" i="51"/>
  <c r="G225" i="51"/>
  <c r="H225" i="51"/>
  <c r="I225" i="51"/>
  <c r="A226" i="51"/>
  <c r="B226" i="51"/>
  <c r="C226" i="51"/>
  <c r="E226" i="51"/>
  <c r="F226" i="51"/>
  <c r="G226" i="51"/>
  <c r="H226" i="51"/>
  <c r="I226" i="51"/>
  <c r="A227" i="51"/>
  <c r="B227" i="51"/>
  <c r="C227" i="51"/>
  <c r="E227" i="51"/>
  <c r="F227" i="51"/>
  <c r="G227" i="51"/>
  <c r="H227" i="51"/>
  <c r="I227" i="51"/>
  <c r="A228" i="51"/>
  <c r="B228" i="51"/>
  <c r="C228" i="51"/>
  <c r="E228" i="51"/>
  <c r="F228" i="51"/>
  <c r="G228" i="51"/>
  <c r="H228" i="51"/>
  <c r="I228" i="51"/>
  <c r="A229" i="51"/>
  <c r="B229" i="51"/>
  <c r="C229" i="51"/>
  <c r="E229" i="51"/>
  <c r="F229" i="51"/>
  <c r="G229" i="51"/>
  <c r="H229" i="51"/>
  <c r="I229" i="51"/>
  <c r="A230" i="51"/>
  <c r="B230" i="51"/>
  <c r="C230" i="51"/>
  <c r="E230" i="51"/>
  <c r="F230" i="51"/>
  <c r="G230" i="51"/>
  <c r="H230" i="51"/>
  <c r="I230" i="51"/>
  <c r="A231" i="51"/>
  <c r="B231" i="51"/>
  <c r="C231" i="51"/>
  <c r="E231" i="51"/>
  <c r="F231" i="51"/>
  <c r="G231" i="51"/>
  <c r="H231" i="51"/>
  <c r="I231" i="51"/>
  <c r="A232" i="51"/>
  <c r="B232" i="51"/>
  <c r="C232" i="51"/>
  <c r="E232" i="51"/>
  <c r="F232" i="51"/>
  <c r="G232" i="51"/>
  <c r="H232" i="51"/>
  <c r="I232" i="51"/>
  <c r="A233" i="51"/>
  <c r="B233" i="51"/>
  <c r="C233" i="51"/>
  <c r="E233" i="51"/>
  <c r="F233" i="51"/>
  <c r="G233" i="51"/>
  <c r="H233" i="51"/>
  <c r="I233" i="51"/>
  <c r="A234" i="51"/>
  <c r="B234" i="51"/>
  <c r="C234" i="51"/>
  <c r="E234" i="51"/>
  <c r="F234" i="51"/>
  <c r="G234" i="51"/>
  <c r="H234" i="51"/>
  <c r="I234" i="51"/>
  <c r="A235" i="51"/>
  <c r="B235" i="51"/>
  <c r="C235" i="51"/>
  <c r="E235" i="51"/>
  <c r="F235" i="51"/>
  <c r="G235" i="51"/>
  <c r="H235" i="51"/>
  <c r="I235" i="51"/>
  <c r="A236" i="51"/>
  <c r="B236" i="51"/>
  <c r="C236" i="51"/>
  <c r="D236" i="51"/>
  <c r="E236" i="51"/>
  <c r="F236" i="51"/>
  <c r="G236" i="51"/>
  <c r="H236" i="51"/>
  <c r="I236" i="51"/>
  <c r="J236" i="51"/>
  <c r="A237" i="51"/>
  <c r="B237" i="51"/>
  <c r="C237" i="51"/>
  <c r="E237" i="51"/>
  <c r="F237" i="51"/>
  <c r="G237" i="51"/>
  <c r="H237" i="51"/>
  <c r="I237" i="51"/>
  <c r="A238" i="51"/>
  <c r="B238" i="51"/>
  <c r="C238" i="51"/>
  <c r="E238" i="51"/>
  <c r="F238" i="51"/>
  <c r="G238" i="51"/>
  <c r="H238" i="51"/>
  <c r="I238" i="51"/>
  <c r="A239" i="51"/>
  <c r="B239" i="51"/>
  <c r="C239" i="51"/>
  <c r="E239" i="51"/>
  <c r="F239" i="51"/>
  <c r="G239" i="51"/>
  <c r="H239" i="51"/>
  <c r="I239" i="51"/>
  <c r="A240" i="51"/>
  <c r="B240" i="51"/>
  <c r="C240" i="51"/>
  <c r="E240" i="51"/>
  <c r="F240" i="51"/>
  <c r="G240" i="51"/>
  <c r="H240" i="51"/>
  <c r="I240" i="51"/>
  <c r="A241" i="51"/>
  <c r="B241" i="51"/>
  <c r="C241" i="51"/>
  <c r="E241" i="51"/>
  <c r="F241" i="51"/>
  <c r="G241" i="51"/>
  <c r="H241" i="51"/>
  <c r="I241" i="51"/>
  <c r="A242" i="51"/>
  <c r="B242" i="51"/>
  <c r="C242" i="51"/>
  <c r="D242" i="51"/>
  <c r="E242" i="51"/>
  <c r="F242" i="51"/>
  <c r="G242" i="51"/>
  <c r="H242" i="51"/>
  <c r="I242" i="51"/>
  <c r="A243" i="51"/>
  <c r="B243" i="51"/>
  <c r="C243" i="51"/>
  <c r="D243" i="51"/>
  <c r="E243" i="51"/>
  <c r="F243" i="51"/>
  <c r="G243" i="51"/>
  <c r="H243" i="51"/>
  <c r="I243" i="51"/>
  <c r="A244" i="51"/>
  <c r="B244" i="51"/>
  <c r="C244" i="51"/>
  <c r="D244" i="51"/>
  <c r="E244" i="51"/>
  <c r="F244" i="51"/>
  <c r="G244" i="51"/>
  <c r="H244" i="51"/>
  <c r="I244" i="51"/>
  <c r="J244" i="51"/>
  <c r="A245" i="51"/>
  <c r="B245" i="51"/>
  <c r="C245" i="51"/>
  <c r="D245" i="51"/>
  <c r="E245" i="51"/>
  <c r="F245" i="51"/>
  <c r="G245" i="51"/>
  <c r="H245" i="51"/>
  <c r="I245" i="51"/>
  <c r="J245" i="51"/>
  <c r="A246" i="51"/>
  <c r="B246" i="51"/>
  <c r="C246" i="51"/>
  <c r="E246" i="51"/>
  <c r="F246" i="51"/>
  <c r="G246" i="51"/>
  <c r="H246" i="51"/>
  <c r="I246" i="51"/>
  <c r="J246" i="51"/>
  <c r="A247" i="51"/>
  <c r="B247" i="51"/>
  <c r="A248" i="51"/>
  <c r="B248" i="51"/>
  <c r="A255" i="51"/>
  <c r="B255" i="51"/>
  <c r="C255" i="51"/>
  <c r="G255" i="51"/>
  <c r="A256" i="51"/>
  <c r="B256" i="51"/>
  <c r="C256" i="51"/>
  <c r="G256" i="51"/>
  <c r="A257" i="51"/>
  <c r="B257" i="51"/>
  <c r="C257" i="51"/>
  <c r="G257" i="51"/>
  <c r="A258" i="51"/>
  <c r="B258" i="51"/>
  <c r="C258" i="51"/>
  <c r="G258" i="51"/>
  <c r="A259" i="51"/>
  <c r="B259" i="51"/>
  <c r="C259" i="51"/>
  <c r="G259" i="51"/>
  <c r="A260" i="51"/>
  <c r="B260" i="51"/>
  <c r="C260" i="51"/>
  <c r="G260" i="51"/>
  <c r="A261" i="51"/>
  <c r="B261" i="51"/>
  <c r="C261" i="51"/>
  <c r="G261" i="51"/>
  <c r="A262" i="51"/>
  <c r="B262" i="51"/>
  <c r="C262" i="51"/>
  <c r="G262" i="51"/>
  <c r="A263" i="51"/>
  <c r="B263" i="51"/>
  <c r="C263" i="51"/>
  <c r="G263" i="51"/>
  <c r="A264" i="51"/>
  <c r="B264" i="51"/>
  <c r="C264" i="51"/>
  <c r="G264" i="51"/>
  <c r="A265" i="51"/>
  <c r="B265" i="51"/>
  <c r="C265" i="51"/>
  <c r="G265" i="51"/>
  <c r="A266" i="51"/>
  <c r="B266" i="51"/>
  <c r="C266" i="51"/>
  <c r="G266" i="51"/>
  <c r="A267" i="51"/>
  <c r="B267" i="51"/>
  <c r="C267" i="51"/>
  <c r="G267" i="51"/>
  <c r="A268" i="51"/>
  <c r="B268" i="51"/>
  <c r="C268" i="51"/>
  <c r="G268" i="51"/>
  <c r="A269" i="51"/>
  <c r="B269" i="51"/>
  <c r="C269" i="51"/>
  <c r="G269" i="51"/>
  <c r="A270" i="51"/>
  <c r="B270" i="51"/>
  <c r="C270" i="51"/>
  <c r="G270" i="51"/>
  <c r="A271" i="51"/>
  <c r="B271" i="51"/>
  <c r="C271" i="51"/>
  <c r="G271" i="51"/>
  <c r="A272" i="51"/>
  <c r="B272" i="51"/>
  <c r="C272" i="51"/>
  <c r="G272" i="51"/>
  <c r="A273" i="51"/>
  <c r="B273" i="51"/>
  <c r="C273" i="51"/>
  <c r="G273" i="51"/>
  <c r="A274" i="51"/>
  <c r="B274" i="51"/>
  <c r="C274" i="51"/>
  <c r="G274" i="51"/>
  <c r="A275" i="51"/>
  <c r="B275" i="51"/>
  <c r="C275" i="51"/>
  <c r="G275" i="51"/>
  <c r="A276" i="51"/>
  <c r="B276" i="51"/>
  <c r="C276" i="51"/>
  <c r="G276" i="51"/>
  <c r="A277" i="51"/>
  <c r="B277" i="51"/>
  <c r="C277" i="51"/>
  <c r="G277" i="51"/>
  <c r="A278" i="51"/>
  <c r="B278" i="51"/>
  <c r="C278" i="51"/>
  <c r="G278" i="51"/>
  <c r="A279" i="51"/>
  <c r="B279" i="51"/>
  <c r="C279" i="51"/>
  <c r="G279" i="51"/>
  <c r="A280" i="51"/>
  <c r="B280" i="51"/>
  <c r="C280" i="51"/>
  <c r="G280" i="51"/>
  <c r="A281" i="51"/>
  <c r="B281" i="51"/>
  <c r="C281" i="51"/>
  <c r="G281" i="51"/>
  <c r="A282" i="51"/>
  <c r="B282" i="51"/>
  <c r="C282" i="51"/>
  <c r="G282" i="51"/>
  <c r="A283" i="51"/>
  <c r="B283" i="51"/>
  <c r="C283" i="51"/>
  <c r="G283" i="51"/>
  <c r="A289" i="51"/>
  <c r="B289" i="51"/>
  <c r="A290" i="51"/>
  <c r="B290" i="51"/>
  <c r="C290" i="51"/>
  <c r="E290" i="51"/>
  <c r="F290" i="51"/>
  <c r="A291" i="51"/>
  <c r="B291" i="51"/>
  <c r="C291" i="51"/>
  <c r="E291" i="51"/>
  <c r="F291" i="51"/>
  <c r="G291" i="51"/>
  <c r="H291" i="51"/>
  <c r="I291" i="51"/>
  <c r="A292" i="51"/>
  <c r="B292" i="51"/>
  <c r="C292" i="51"/>
  <c r="E292" i="51"/>
  <c r="F292" i="51"/>
  <c r="G292" i="51"/>
  <c r="H292" i="51"/>
  <c r="I292" i="51"/>
  <c r="A293" i="51"/>
  <c r="B293" i="51"/>
  <c r="C293" i="51"/>
  <c r="E293" i="51"/>
  <c r="F293" i="51"/>
  <c r="G293" i="51"/>
  <c r="H293" i="51"/>
  <c r="I293" i="51"/>
  <c r="A294" i="51"/>
  <c r="B294" i="51"/>
  <c r="C294" i="51"/>
  <c r="E294" i="51"/>
  <c r="F294" i="51"/>
  <c r="G294" i="51"/>
  <c r="H294" i="51"/>
  <c r="I294" i="51"/>
  <c r="A295" i="51"/>
  <c r="B295" i="51"/>
  <c r="C295" i="51"/>
  <c r="E295" i="51"/>
  <c r="F295" i="51"/>
  <c r="G295" i="51"/>
  <c r="H295" i="51"/>
  <c r="I295" i="51"/>
  <c r="A296" i="51"/>
  <c r="B296" i="51"/>
  <c r="C296" i="51"/>
  <c r="E296" i="51"/>
  <c r="F296" i="51"/>
  <c r="G296" i="51"/>
  <c r="H296" i="51"/>
  <c r="I296" i="51"/>
  <c r="A297" i="51"/>
  <c r="B297" i="51"/>
  <c r="C297" i="51"/>
  <c r="E297" i="51"/>
  <c r="F297" i="51"/>
  <c r="G297" i="51"/>
  <c r="H297" i="51"/>
  <c r="I297" i="51"/>
  <c r="A298" i="51"/>
  <c r="B298" i="51"/>
  <c r="C298" i="51"/>
  <c r="E298" i="51"/>
  <c r="F298" i="51"/>
  <c r="G298" i="51"/>
  <c r="H298" i="51"/>
  <c r="I298" i="51"/>
  <c r="A299" i="51"/>
  <c r="B299" i="51"/>
  <c r="C299" i="51"/>
  <c r="E299" i="51"/>
  <c r="F299" i="51"/>
  <c r="G299" i="51"/>
  <c r="H299" i="51"/>
  <c r="I299" i="51"/>
  <c r="A300" i="51"/>
  <c r="B300" i="51"/>
  <c r="C300" i="51"/>
  <c r="E300" i="51"/>
  <c r="F300" i="51"/>
  <c r="G300" i="51"/>
  <c r="H300" i="51"/>
  <c r="I300" i="51"/>
  <c r="A301" i="51"/>
  <c r="B301" i="51"/>
  <c r="C301" i="51"/>
  <c r="E301" i="51"/>
  <c r="F301" i="51"/>
  <c r="G301" i="51"/>
  <c r="H301" i="51"/>
  <c r="I301" i="51"/>
  <c r="A302" i="51"/>
  <c r="B302" i="51"/>
  <c r="C302" i="51"/>
  <c r="E302" i="51"/>
  <c r="F302" i="51"/>
  <c r="G302" i="51"/>
  <c r="H302" i="51"/>
  <c r="I302" i="51"/>
  <c r="A303" i="51"/>
  <c r="B303" i="51"/>
  <c r="C303" i="51"/>
  <c r="E303" i="51"/>
  <c r="F303" i="51"/>
  <c r="G303" i="51"/>
  <c r="H303" i="51"/>
  <c r="I303" i="51"/>
  <c r="A304" i="51"/>
  <c r="B304" i="51"/>
  <c r="C304" i="51"/>
  <c r="E304" i="51"/>
  <c r="F304" i="51"/>
  <c r="G304" i="51"/>
  <c r="H304" i="51"/>
  <c r="I304" i="51"/>
  <c r="A305" i="51"/>
  <c r="B305" i="51"/>
  <c r="C305" i="51"/>
  <c r="E305" i="51"/>
  <c r="F305" i="51"/>
  <c r="G305" i="51"/>
  <c r="H305" i="51"/>
  <c r="I305" i="51"/>
  <c r="A306" i="51"/>
  <c r="B306" i="51"/>
  <c r="C306" i="51"/>
  <c r="E306" i="51"/>
  <c r="F306" i="51"/>
  <c r="G306" i="51"/>
  <c r="H306" i="51"/>
  <c r="I306" i="51"/>
  <c r="A307" i="51"/>
  <c r="B307" i="51"/>
  <c r="C307" i="51"/>
  <c r="E307" i="51"/>
  <c r="F307" i="51"/>
  <c r="G307" i="51"/>
  <c r="H307" i="51"/>
  <c r="I307" i="51"/>
  <c r="A308" i="51"/>
  <c r="B308" i="51"/>
  <c r="C308" i="51"/>
  <c r="E308" i="51"/>
  <c r="F308" i="51"/>
  <c r="G308" i="51"/>
  <c r="H308" i="51"/>
  <c r="I308" i="51"/>
  <c r="A309" i="51"/>
  <c r="B309" i="51"/>
  <c r="C309" i="51"/>
  <c r="E309" i="51"/>
  <c r="F309" i="51"/>
  <c r="G309" i="51"/>
  <c r="H309" i="51"/>
  <c r="I309" i="51"/>
  <c r="A310" i="51"/>
  <c r="B310" i="51"/>
  <c r="C310" i="51"/>
  <c r="D310" i="51"/>
  <c r="E310" i="51"/>
  <c r="F310" i="51"/>
  <c r="G310" i="51"/>
  <c r="H310" i="51"/>
  <c r="I310" i="51"/>
  <c r="J310" i="51"/>
  <c r="A311" i="51"/>
  <c r="B311" i="51"/>
  <c r="C311" i="51"/>
  <c r="E311" i="51"/>
  <c r="F311" i="51"/>
  <c r="G311" i="51"/>
  <c r="H311" i="51"/>
  <c r="I311" i="51"/>
  <c r="A312" i="51"/>
  <c r="B312" i="51"/>
  <c r="C312" i="51"/>
  <c r="E312" i="51"/>
  <c r="F312" i="51"/>
  <c r="G312" i="51"/>
  <c r="H312" i="51"/>
  <c r="I312" i="51"/>
  <c r="A313" i="51"/>
  <c r="B313" i="51"/>
  <c r="C313" i="51"/>
  <c r="E313" i="51"/>
  <c r="F313" i="51"/>
  <c r="G313" i="51"/>
  <c r="H313" i="51"/>
  <c r="I313" i="51"/>
  <c r="A314" i="51"/>
  <c r="B314" i="51"/>
  <c r="C314" i="51"/>
  <c r="E314" i="51"/>
  <c r="F314" i="51"/>
  <c r="G314" i="51"/>
  <c r="H314" i="51"/>
  <c r="I314" i="51"/>
  <c r="A315" i="51"/>
  <c r="B315" i="51"/>
  <c r="C315" i="51"/>
  <c r="E315" i="51"/>
  <c r="F315" i="51"/>
  <c r="G315" i="51"/>
  <c r="H315" i="51"/>
  <c r="I315" i="51"/>
  <c r="A316" i="51"/>
  <c r="B316" i="51"/>
  <c r="C316" i="51"/>
  <c r="D316" i="51"/>
  <c r="E316" i="51"/>
  <c r="F316" i="51"/>
  <c r="G316" i="51"/>
  <c r="H316" i="51"/>
  <c r="I316" i="51"/>
  <c r="J316" i="51"/>
  <c r="A317" i="51"/>
  <c r="B317" i="51"/>
  <c r="C317" i="51"/>
  <c r="D317" i="51"/>
  <c r="E317" i="51"/>
  <c r="F317" i="51"/>
  <c r="G317" i="51"/>
  <c r="H317" i="51"/>
  <c r="I317" i="51"/>
  <c r="J317" i="51"/>
  <c r="K317" i="51" s="1"/>
  <c r="K316" i="51" s="1"/>
  <c r="A318" i="51"/>
  <c r="B318" i="51"/>
  <c r="C318" i="51"/>
  <c r="D318" i="51"/>
  <c r="E318" i="51"/>
  <c r="F318" i="51"/>
  <c r="G318" i="51"/>
  <c r="H318" i="51"/>
  <c r="I318" i="51"/>
  <c r="A319" i="51"/>
  <c r="B319" i="51"/>
  <c r="C319" i="51"/>
  <c r="E319" i="51"/>
  <c r="F319" i="51"/>
  <c r="G319" i="51"/>
  <c r="H319" i="51"/>
  <c r="I319" i="51"/>
  <c r="A320" i="51"/>
  <c r="B320" i="51"/>
  <c r="C320" i="51"/>
  <c r="E320" i="51"/>
  <c r="F320" i="51"/>
  <c r="G320" i="51"/>
  <c r="H320" i="51"/>
  <c r="I320" i="51"/>
  <c r="J320" i="51"/>
  <c r="A321" i="51"/>
  <c r="B321" i="51"/>
  <c r="A322" i="51"/>
  <c r="B322" i="51"/>
  <c r="A327" i="51"/>
  <c r="B327" i="51"/>
  <c r="C327" i="51"/>
  <c r="G327" i="51"/>
  <c r="H327" i="51"/>
  <c r="A328" i="51"/>
  <c r="B328" i="51"/>
  <c r="C328" i="51"/>
  <c r="G328" i="51"/>
  <c r="H328" i="51"/>
  <c r="A329" i="51"/>
  <c r="B329" i="51"/>
  <c r="C329" i="51"/>
  <c r="G329" i="51"/>
  <c r="H329" i="51"/>
  <c r="A330" i="51"/>
  <c r="B330" i="51"/>
  <c r="C330" i="51"/>
  <c r="G330" i="51"/>
  <c r="H330" i="51"/>
  <c r="A331" i="51"/>
  <c r="B331" i="51"/>
  <c r="C331" i="51"/>
  <c r="G331" i="51"/>
  <c r="H331" i="51"/>
  <c r="A332" i="51"/>
  <c r="B332" i="51"/>
  <c r="C332" i="51"/>
  <c r="G332" i="51"/>
  <c r="H332" i="51"/>
  <c r="A333" i="51"/>
  <c r="B333" i="51"/>
  <c r="C333" i="51"/>
  <c r="G333" i="51"/>
  <c r="H333" i="51"/>
  <c r="A334" i="51"/>
  <c r="B334" i="51"/>
  <c r="C334" i="51"/>
  <c r="G334" i="51"/>
  <c r="H334" i="51"/>
  <c r="A335" i="51"/>
  <c r="B335" i="51"/>
  <c r="C335" i="51"/>
  <c r="G335" i="51"/>
  <c r="H335" i="51"/>
  <c r="A336" i="51"/>
  <c r="B336" i="51"/>
  <c r="C336" i="51"/>
  <c r="G336" i="51"/>
  <c r="H336" i="51"/>
  <c r="A337" i="51"/>
  <c r="B337" i="51"/>
  <c r="C337" i="51"/>
  <c r="G337" i="51"/>
  <c r="H337" i="51"/>
  <c r="A338" i="51"/>
  <c r="B338" i="51"/>
  <c r="C338" i="51"/>
  <c r="G338" i="51"/>
  <c r="H338" i="51"/>
  <c r="A339" i="51"/>
  <c r="B339" i="51"/>
  <c r="C339" i="51"/>
  <c r="G339" i="51"/>
  <c r="H339" i="51"/>
  <c r="A340" i="51"/>
  <c r="B340" i="51"/>
  <c r="C340" i="51"/>
  <c r="G340" i="51"/>
  <c r="H340" i="51"/>
  <c r="A341" i="51"/>
  <c r="B341" i="51"/>
  <c r="C341" i="51"/>
  <c r="G341" i="51"/>
  <c r="H341" i="51"/>
  <c r="A342" i="51"/>
  <c r="B342" i="51"/>
  <c r="C342" i="51"/>
  <c r="G342" i="51"/>
  <c r="H342" i="51"/>
  <c r="A343" i="51"/>
  <c r="B343" i="51"/>
  <c r="C343" i="51"/>
  <c r="G343" i="51"/>
  <c r="H343" i="51"/>
  <c r="A344" i="51"/>
  <c r="B344" i="51"/>
  <c r="C344" i="51"/>
  <c r="G344" i="51"/>
  <c r="H344" i="51"/>
  <c r="A345" i="51"/>
  <c r="B345" i="51"/>
  <c r="C345" i="51"/>
  <c r="G345" i="51"/>
  <c r="H345" i="51"/>
  <c r="A346" i="51"/>
  <c r="B346" i="51"/>
  <c r="C346" i="51"/>
  <c r="G346" i="51"/>
  <c r="H346" i="51"/>
  <c r="A347" i="51"/>
  <c r="B347" i="51"/>
  <c r="C347" i="51"/>
  <c r="G347" i="51"/>
  <c r="H347" i="51"/>
  <c r="A348" i="51"/>
  <c r="B348" i="51"/>
  <c r="C348" i="51"/>
  <c r="G348" i="51"/>
  <c r="H348" i="51"/>
  <c r="A349" i="51"/>
  <c r="B349" i="51"/>
  <c r="C349" i="51"/>
  <c r="G349" i="51"/>
  <c r="H349" i="51"/>
  <c r="A350" i="51"/>
  <c r="B350" i="51"/>
  <c r="C350" i="51"/>
  <c r="G350" i="51"/>
  <c r="H350" i="51"/>
  <c r="A351" i="51"/>
  <c r="B351" i="51"/>
  <c r="C351" i="51"/>
  <c r="G351" i="51"/>
  <c r="H351" i="51"/>
  <c r="A352" i="51"/>
  <c r="B352" i="51"/>
  <c r="C352" i="51"/>
  <c r="G352" i="51"/>
  <c r="H352" i="51"/>
  <c r="A5" i="50"/>
  <c r="B5" i="50"/>
  <c r="A6" i="50"/>
  <c r="B6" i="50"/>
  <c r="H6" i="50"/>
  <c r="J7" i="50"/>
  <c r="K7" i="50"/>
  <c r="J9" i="50"/>
  <c r="K9" i="50"/>
  <c r="J11" i="50"/>
  <c r="K11" i="50"/>
  <c r="A12" i="50"/>
  <c r="B12" i="50"/>
  <c r="C12" i="50"/>
  <c r="F12" i="50"/>
  <c r="G12" i="50"/>
  <c r="H12" i="50"/>
  <c r="A14" i="50"/>
  <c r="B14" i="50"/>
  <c r="C14" i="50"/>
  <c r="E14" i="50"/>
  <c r="F14" i="50"/>
  <c r="G14" i="50"/>
  <c r="A15" i="50"/>
  <c r="B15" i="50"/>
  <c r="C15" i="50"/>
  <c r="E15" i="50"/>
  <c r="F15" i="50"/>
  <c r="G15" i="50"/>
  <c r="A16" i="50"/>
  <c r="B16" i="50"/>
  <c r="C16" i="50"/>
  <c r="E16" i="50"/>
  <c r="F16" i="50"/>
  <c r="G16" i="50"/>
  <c r="A17" i="50"/>
  <c r="B17" i="50"/>
  <c r="C17" i="50"/>
  <c r="E17" i="50"/>
  <c r="F17" i="50"/>
  <c r="G17" i="50"/>
  <c r="A18" i="50"/>
  <c r="B18" i="50"/>
  <c r="C18" i="50"/>
  <c r="E18" i="50"/>
  <c r="F18" i="50"/>
  <c r="G18" i="50"/>
  <c r="A19" i="50"/>
  <c r="B19" i="50"/>
  <c r="C19" i="50"/>
  <c r="E19" i="50"/>
  <c r="F19" i="50"/>
  <c r="G19" i="50"/>
  <c r="A20" i="50"/>
  <c r="B20" i="50"/>
  <c r="C20" i="50"/>
  <c r="E20" i="50"/>
  <c r="F20" i="50"/>
  <c r="G20" i="50"/>
  <c r="A21" i="50"/>
  <c r="B21" i="50"/>
  <c r="C21" i="50"/>
  <c r="E21" i="50"/>
  <c r="F21" i="50"/>
  <c r="G21" i="50"/>
  <c r="A22" i="50"/>
  <c r="B22" i="50"/>
  <c r="C22" i="50"/>
  <c r="E22" i="50"/>
  <c r="F22" i="50"/>
  <c r="G22" i="50"/>
  <c r="A23" i="50"/>
  <c r="B23" i="50"/>
  <c r="C23" i="50"/>
  <c r="E23" i="50"/>
  <c r="F23" i="50"/>
  <c r="G23" i="50"/>
  <c r="A24" i="50"/>
  <c r="B24" i="50"/>
  <c r="C24" i="50"/>
  <c r="E24" i="50"/>
  <c r="F24" i="50"/>
  <c r="G24" i="50"/>
  <c r="A25" i="50"/>
  <c r="B25" i="50"/>
  <c r="C25" i="50"/>
  <c r="E25" i="50"/>
  <c r="F25" i="50"/>
  <c r="G25" i="50"/>
  <c r="A26" i="50"/>
  <c r="B26" i="50"/>
  <c r="C26" i="50"/>
  <c r="E26" i="50"/>
  <c r="F26" i="50"/>
  <c r="G26" i="50"/>
  <c r="A27" i="50"/>
  <c r="B27" i="50"/>
  <c r="C27" i="50"/>
  <c r="E27" i="50"/>
  <c r="F27" i="50"/>
  <c r="G27" i="50"/>
  <c r="A28" i="50"/>
  <c r="B28" i="50"/>
  <c r="C28" i="50"/>
  <c r="E28" i="50"/>
  <c r="F28" i="50"/>
  <c r="G28" i="50"/>
  <c r="A29" i="50"/>
  <c r="B29" i="50"/>
  <c r="C29" i="50"/>
  <c r="E29" i="50"/>
  <c r="F29" i="50"/>
  <c r="G29" i="50"/>
  <c r="A30" i="50"/>
  <c r="B30" i="50"/>
  <c r="C30" i="50"/>
  <c r="E30" i="50"/>
  <c r="F30" i="50"/>
  <c r="G30" i="50"/>
  <c r="A31" i="50"/>
  <c r="B31" i="50"/>
  <c r="C31" i="50"/>
  <c r="E31" i="50"/>
  <c r="F31" i="50"/>
  <c r="G31" i="50"/>
  <c r="A32" i="50"/>
  <c r="B32" i="50"/>
  <c r="C32" i="50"/>
  <c r="E32" i="50"/>
  <c r="F32" i="50"/>
  <c r="G32" i="50"/>
  <c r="A33" i="50"/>
  <c r="B33" i="50"/>
  <c r="C33" i="50"/>
  <c r="E33" i="50"/>
  <c r="F33" i="50"/>
  <c r="G33" i="50"/>
  <c r="A34" i="50"/>
  <c r="B34" i="50"/>
  <c r="C34" i="50"/>
  <c r="D34" i="50"/>
  <c r="E34" i="50"/>
  <c r="F34" i="50"/>
  <c r="G34" i="50"/>
  <c r="H34" i="50"/>
  <c r="A35" i="50"/>
  <c r="B35" i="50"/>
  <c r="C35" i="50"/>
  <c r="E35" i="50"/>
  <c r="F35" i="50"/>
  <c r="G35" i="50"/>
  <c r="H35" i="50"/>
  <c r="A36" i="50"/>
  <c r="B36" i="50"/>
  <c r="C36" i="50"/>
  <c r="E36" i="50"/>
  <c r="F36" i="50"/>
  <c r="G36" i="50"/>
  <c r="A37" i="50"/>
  <c r="B37" i="50"/>
  <c r="C37" i="50"/>
  <c r="E37" i="50"/>
  <c r="F37" i="50"/>
  <c r="G37" i="50"/>
  <c r="A38" i="50"/>
  <c r="B38" i="50"/>
  <c r="C38" i="50"/>
  <c r="E38" i="50"/>
  <c r="F38" i="50"/>
  <c r="G38" i="50"/>
  <c r="A39" i="50"/>
  <c r="B39" i="50"/>
  <c r="C39" i="50"/>
  <c r="E39" i="50"/>
  <c r="F39" i="50"/>
  <c r="G39" i="50"/>
  <c r="A40" i="50"/>
  <c r="B40" i="50"/>
  <c r="C40" i="50"/>
  <c r="E40" i="50"/>
  <c r="F40" i="50"/>
  <c r="G40" i="50"/>
  <c r="A41" i="50"/>
  <c r="B41" i="50"/>
  <c r="A42" i="50"/>
  <c r="B42" i="50"/>
  <c r="C42" i="50"/>
  <c r="E42" i="50"/>
  <c r="F42" i="50"/>
  <c r="G42" i="50"/>
  <c r="A43" i="50"/>
  <c r="B43" i="50"/>
  <c r="C43" i="50"/>
  <c r="E43" i="50"/>
  <c r="F43" i="50"/>
  <c r="G43" i="50"/>
  <c r="A44" i="50"/>
  <c r="B44" i="50"/>
  <c r="C44" i="50"/>
  <c r="E44" i="50"/>
  <c r="F44" i="50"/>
  <c r="G44" i="50"/>
  <c r="A45" i="50"/>
  <c r="B45" i="50"/>
  <c r="C45" i="50"/>
  <c r="E45" i="50"/>
  <c r="F45" i="50"/>
  <c r="G45" i="50"/>
  <c r="A46" i="50"/>
  <c r="B46" i="50"/>
  <c r="C46" i="50"/>
  <c r="D46" i="50"/>
  <c r="E46" i="50"/>
  <c r="F46" i="50"/>
  <c r="G46" i="50"/>
  <c r="H46" i="50"/>
  <c r="A47" i="50"/>
  <c r="B47" i="50"/>
  <c r="C47" i="50"/>
  <c r="D47" i="50"/>
  <c r="E47" i="50"/>
  <c r="F47" i="50"/>
  <c r="G47" i="50"/>
  <c r="H47" i="50"/>
  <c r="A48" i="50"/>
  <c r="B48" i="50"/>
  <c r="C48" i="50"/>
  <c r="D48" i="50"/>
  <c r="E48" i="50"/>
  <c r="F48" i="50"/>
  <c r="G48" i="50"/>
  <c r="H48" i="50"/>
  <c r="A49" i="50"/>
  <c r="B49" i="50"/>
  <c r="C49" i="50"/>
  <c r="D49" i="50"/>
  <c r="E49" i="50"/>
  <c r="F49" i="50"/>
  <c r="G49" i="50"/>
  <c r="H49" i="50"/>
  <c r="A50" i="50"/>
  <c r="B50" i="50"/>
  <c r="C50" i="50"/>
  <c r="D50" i="50"/>
  <c r="E50" i="50"/>
  <c r="F50" i="50"/>
  <c r="G50" i="50"/>
  <c r="H50" i="50"/>
  <c r="A51" i="50"/>
  <c r="B51" i="50"/>
  <c r="C51" i="50"/>
  <c r="D51" i="50"/>
  <c r="E51" i="50"/>
  <c r="F51" i="50"/>
  <c r="G51" i="50"/>
  <c r="H51" i="50"/>
  <c r="A52" i="50"/>
  <c r="B52" i="50"/>
  <c r="C52" i="50"/>
  <c r="D52" i="50"/>
  <c r="E52" i="50"/>
  <c r="F52" i="50"/>
  <c r="G52" i="50"/>
  <c r="H52" i="50"/>
  <c r="A53" i="50"/>
  <c r="B53" i="50"/>
  <c r="C53" i="50"/>
  <c r="D53" i="50"/>
  <c r="E53" i="50"/>
  <c r="F53" i="50"/>
  <c r="G53" i="50"/>
  <c r="H53" i="50"/>
  <c r="I53" i="50" s="1"/>
  <c r="A54" i="50"/>
  <c r="B54" i="50"/>
  <c r="C54" i="50"/>
  <c r="D54" i="50"/>
  <c r="E54" i="50"/>
  <c r="F54" i="50"/>
  <c r="G54" i="50"/>
  <c r="H54" i="50"/>
  <c r="A55" i="50"/>
  <c r="B55" i="50"/>
  <c r="C55" i="50"/>
  <c r="D55" i="50"/>
  <c r="E55" i="50"/>
  <c r="F55" i="50"/>
  <c r="G55" i="50"/>
  <c r="H55" i="50"/>
  <c r="A56" i="50"/>
  <c r="B56" i="50"/>
  <c r="C56" i="50"/>
  <c r="D56" i="50"/>
  <c r="E56" i="50"/>
  <c r="F56" i="50"/>
  <c r="G56" i="50"/>
  <c r="H56" i="50"/>
  <c r="A57" i="50"/>
  <c r="B57" i="50"/>
  <c r="C57" i="50"/>
  <c r="D57" i="50"/>
  <c r="E57" i="50"/>
  <c r="F57" i="50"/>
  <c r="G57" i="50"/>
  <c r="H57" i="50"/>
  <c r="A58" i="50"/>
  <c r="B58" i="50"/>
  <c r="C58" i="50"/>
  <c r="E58" i="50"/>
  <c r="F58" i="50"/>
  <c r="G58" i="50"/>
  <c r="A59" i="50"/>
  <c r="B59" i="50"/>
  <c r="C59" i="50"/>
  <c r="E59" i="50"/>
  <c r="F59" i="50"/>
  <c r="G59" i="50"/>
  <c r="A60" i="50"/>
  <c r="B60" i="50"/>
  <c r="C60" i="50"/>
  <c r="E60" i="50"/>
  <c r="F60" i="50"/>
  <c r="G60" i="50"/>
  <c r="A61" i="50"/>
  <c r="B61" i="50"/>
  <c r="C61" i="50"/>
  <c r="E61" i="50"/>
  <c r="F61" i="50"/>
  <c r="G61" i="50"/>
  <c r="A62" i="50"/>
  <c r="B62" i="50"/>
  <c r="C62" i="50"/>
  <c r="E62" i="50"/>
  <c r="F62" i="50"/>
  <c r="G62" i="50"/>
  <c r="A63" i="50"/>
  <c r="B63" i="50"/>
  <c r="C63" i="50"/>
  <c r="E63" i="50"/>
  <c r="F63" i="50"/>
  <c r="G63" i="50"/>
  <c r="A64" i="50"/>
  <c r="B64" i="50"/>
  <c r="C64" i="50"/>
  <c r="D64" i="50"/>
  <c r="E64" i="50"/>
  <c r="F64" i="50"/>
  <c r="G64" i="50"/>
  <c r="I64" i="50" s="1"/>
  <c r="H64" i="50"/>
  <c r="A65" i="50"/>
  <c r="B65" i="50"/>
  <c r="C65" i="50"/>
  <c r="E65" i="50"/>
  <c r="F65" i="50"/>
  <c r="G65" i="50"/>
  <c r="A66" i="50"/>
  <c r="B66" i="50"/>
  <c r="C66" i="50"/>
  <c r="E66" i="50"/>
  <c r="F66" i="50"/>
  <c r="G66" i="50"/>
  <c r="A67" i="50"/>
  <c r="B67" i="50"/>
  <c r="C67" i="50"/>
  <c r="E67" i="50"/>
  <c r="F67" i="50"/>
  <c r="G67" i="50"/>
  <c r="A68" i="50"/>
  <c r="B68" i="50"/>
  <c r="C68" i="50"/>
  <c r="E68" i="50"/>
  <c r="F68" i="50"/>
  <c r="G68" i="50"/>
  <c r="A69" i="50"/>
  <c r="B69" i="50"/>
  <c r="C69" i="50"/>
  <c r="E69" i="50"/>
  <c r="F69" i="50"/>
  <c r="G69" i="50"/>
  <c r="A70" i="50"/>
  <c r="B70" i="50"/>
  <c r="C70" i="50"/>
  <c r="E70" i="50"/>
  <c r="F70" i="50"/>
  <c r="G70" i="50"/>
  <c r="A71" i="50"/>
  <c r="B71" i="50"/>
  <c r="C71" i="50"/>
  <c r="D71" i="50"/>
  <c r="E71" i="50"/>
  <c r="F71" i="50"/>
  <c r="G71" i="50"/>
  <c r="H71" i="50"/>
  <c r="I71" i="50" s="1"/>
  <c r="A72" i="50"/>
  <c r="B72" i="50"/>
  <c r="C72" i="50"/>
  <c r="E72" i="50"/>
  <c r="F72" i="50"/>
  <c r="G72" i="50"/>
  <c r="A73" i="50"/>
  <c r="B73" i="50"/>
  <c r="D73" i="50"/>
  <c r="E73" i="50"/>
  <c r="F73" i="50"/>
  <c r="G73" i="50"/>
  <c r="H73" i="50"/>
  <c r="A74" i="50"/>
  <c r="B74" i="50"/>
  <c r="C74" i="50"/>
  <c r="E74" i="50"/>
  <c r="F74" i="50"/>
  <c r="G74" i="50"/>
  <c r="A75" i="50"/>
  <c r="B75" i="50"/>
  <c r="C75" i="50"/>
  <c r="E75" i="50"/>
  <c r="F75" i="50"/>
  <c r="G75" i="50"/>
  <c r="A76" i="50"/>
  <c r="B76" i="50"/>
  <c r="C76" i="50"/>
  <c r="E76" i="50"/>
  <c r="F76" i="50"/>
  <c r="G76" i="50"/>
  <c r="A77" i="50"/>
  <c r="B77" i="50"/>
  <c r="C77" i="50"/>
  <c r="E77" i="50"/>
  <c r="F77" i="50"/>
  <c r="G77" i="50"/>
  <c r="A78" i="50"/>
  <c r="B78" i="50"/>
  <c r="C78" i="50"/>
  <c r="E78" i="50"/>
  <c r="F78" i="50"/>
  <c r="G78" i="50"/>
  <c r="A79" i="50"/>
  <c r="B79" i="50"/>
  <c r="C79" i="50"/>
  <c r="E79" i="50"/>
  <c r="F79" i="50"/>
  <c r="G79" i="50"/>
  <c r="A80" i="50"/>
  <c r="B80" i="50"/>
  <c r="C80" i="50"/>
  <c r="E80" i="50"/>
  <c r="F80" i="50"/>
  <c r="G80" i="50"/>
  <c r="A81" i="50"/>
  <c r="B81" i="50"/>
  <c r="C81" i="50"/>
  <c r="D81" i="50"/>
  <c r="E81" i="50"/>
  <c r="F81" i="50"/>
  <c r="G81" i="50"/>
  <c r="H81" i="50"/>
  <c r="A82" i="50"/>
  <c r="A83" i="50"/>
  <c r="A84" i="50"/>
  <c r="A85" i="50"/>
  <c r="B85" i="50"/>
  <c r="A86" i="50"/>
  <c r="B86" i="50"/>
  <c r="A87" i="50"/>
  <c r="A88" i="50"/>
  <c r="A89" i="50"/>
  <c r="A90" i="50"/>
  <c r="B90" i="50"/>
  <c r="A91" i="50"/>
  <c r="B91" i="50"/>
  <c r="G91" i="50"/>
  <c r="H91" i="50"/>
  <c r="J92" i="50"/>
  <c r="K92" i="50"/>
  <c r="J94" i="50"/>
  <c r="K94" i="50"/>
  <c r="J96" i="50"/>
  <c r="K96" i="50"/>
  <c r="J98" i="50"/>
  <c r="K98" i="50"/>
  <c r="A99" i="50"/>
  <c r="B99" i="50"/>
  <c r="C99" i="50"/>
  <c r="F99" i="50"/>
  <c r="G99" i="50"/>
  <c r="H99" i="50"/>
  <c r="A101" i="50"/>
  <c r="B101" i="50"/>
  <c r="C101" i="50"/>
  <c r="D101" i="50"/>
  <c r="E101" i="50"/>
  <c r="F101" i="50"/>
  <c r="G101" i="50"/>
  <c r="H101" i="50"/>
  <c r="A102" i="50"/>
  <c r="B102" i="50"/>
  <c r="C102" i="50"/>
  <c r="D102" i="50"/>
  <c r="E102" i="50"/>
  <c r="F102" i="50"/>
  <c r="G102" i="50"/>
  <c r="H102" i="50"/>
  <c r="A103" i="50"/>
  <c r="B103" i="50"/>
  <c r="C103" i="50"/>
  <c r="D103" i="50"/>
  <c r="E103" i="50"/>
  <c r="F103" i="50"/>
  <c r="G103" i="50"/>
  <c r="H103" i="50"/>
  <c r="A104" i="50"/>
  <c r="B104" i="50"/>
  <c r="C104" i="50"/>
  <c r="D104" i="50"/>
  <c r="E104" i="50"/>
  <c r="F104" i="50"/>
  <c r="G104" i="50"/>
  <c r="I104" i="50" s="1"/>
  <c r="H104" i="50"/>
  <c r="A105" i="50"/>
  <c r="B105" i="50"/>
  <c r="C105" i="50"/>
  <c r="D105" i="50"/>
  <c r="E105" i="50"/>
  <c r="F105" i="50"/>
  <c r="G105" i="50"/>
  <c r="I105" i="50" s="1"/>
  <c r="H105" i="50"/>
  <c r="A106" i="50"/>
  <c r="B106" i="50"/>
  <c r="C106" i="50"/>
  <c r="D106" i="50"/>
  <c r="E106" i="50"/>
  <c r="F106" i="50"/>
  <c r="G106" i="50"/>
  <c r="H106" i="50"/>
  <c r="A107" i="50"/>
  <c r="B107" i="50"/>
  <c r="C107" i="50"/>
  <c r="D107" i="50"/>
  <c r="E107" i="50"/>
  <c r="F107" i="50"/>
  <c r="G107" i="50"/>
  <c r="H107" i="50"/>
  <c r="A108" i="50"/>
  <c r="B108" i="50"/>
  <c r="C108" i="50"/>
  <c r="D108" i="50"/>
  <c r="E108" i="50"/>
  <c r="F108" i="50"/>
  <c r="G108" i="50"/>
  <c r="I108" i="50" s="1"/>
  <c r="H108" i="50"/>
  <c r="A109" i="50"/>
  <c r="B109" i="50"/>
  <c r="C109" i="50"/>
  <c r="D109" i="50"/>
  <c r="E109" i="50"/>
  <c r="F109" i="50"/>
  <c r="G109" i="50"/>
  <c r="H109" i="50"/>
  <c r="A110" i="50"/>
  <c r="B110" i="50"/>
  <c r="C110" i="50"/>
  <c r="D110" i="50"/>
  <c r="E110" i="50"/>
  <c r="F110" i="50"/>
  <c r="G110" i="50"/>
  <c r="H110" i="50"/>
  <c r="A111" i="50"/>
  <c r="B111" i="50"/>
  <c r="C111" i="50"/>
  <c r="D111" i="50"/>
  <c r="E111" i="50"/>
  <c r="F111" i="50"/>
  <c r="G111" i="50"/>
  <c r="I111" i="50" s="1"/>
  <c r="H111" i="50"/>
  <c r="A112" i="50"/>
  <c r="B112" i="50"/>
  <c r="C112" i="50"/>
  <c r="D112" i="50"/>
  <c r="E112" i="50"/>
  <c r="F112" i="50"/>
  <c r="G112" i="50"/>
  <c r="H112" i="50"/>
  <c r="A113" i="50"/>
  <c r="B113" i="50"/>
  <c r="C113" i="50"/>
  <c r="D113" i="50"/>
  <c r="E113" i="50"/>
  <c r="F113" i="50"/>
  <c r="G113" i="50"/>
  <c r="I113" i="50" s="1"/>
  <c r="H113" i="50"/>
  <c r="A114" i="50"/>
  <c r="B114" i="50"/>
  <c r="C114" i="50"/>
  <c r="D114" i="50"/>
  <c r="E114" i="50"/>
  <c r="F114" i="50"/>
  <c r="G114" i="50"/>
  <c r="H114" i="50"/>
  <c r="A115" i="50"/>
  <c r="B115" i="50"/>
  <c r="C115" i="50"/>
  <c r="D115" i="50"/>
  <c r="E115" i="50"/>
  <c r="F115" i="50"/>
  <c r="G115" i="50"/>
  <c r="H115" i="50"/>
  <c r="A116" i="50"/>
  <c r="B116" i="50"/>
  <c r="C116" i="50"/>
  <c r="D116" i="50"/>
  <c r="E116" i="50"/>
  <c r="F116" i="50"/>
  <c r="G116" i="50"/>
  <c r="I116" i="50" s="1"/>
  <c r="H116" i="50"/>
  <c r="A117" i="50"/>
  <c r="B117" i="50"/>
  <c r="C117" i="50"/>
  <c r="D117" i="50"/>
  <c r="E117" i="50"/>
  <c r="F117" i="50"/>
  <c r="G117" i="50"/>
  <c r="I117" i="50" s="1"/>
  <c r="H117" i="50"/>
  <c r="A118" i="50"/>
  <c r="B118" i="50"/>
  <c r="C118" i="50"/>
  <c r="D118" i="50"/>
  <c r="E118" i="50"/>
  <c r="F118" i="50"/>
  <c r="G118" i="50"/>
  <c r="H118" i="50"/>
  <c r="A119" i="50"/>
  <c r="B119" i="50"/>
  <c r="C119" i="50"/>
  <c r="D119" i="50"/>
  <c r="E119" i="50"/>
  <c r="F119" i="50"/>
  <c r="G119" i="50"/>
  <c r="H119" i="50"/>
  <c r="A120" i="50"/>
  <c r="B120" i="50"/>
  <c r="C120" i="50"/>
  <c r="D120" i="50"/>
  <c r="E120" i="50"/>
  <c r="F120" i="50"/>
  <c r="G120" i="50"/>
  <c r="I120" i="50" s="1"/>
  <c r="H120" i="50"/>
  <c r="A121" i="50"/>
  <c r="B121" i="50"/>
  <c r="C121" i="50"/>
  <c r="D121" i="50"/>
  <c r="E121" i="50"/>
  <c r="F121" i="50"/>
  <c r="G121" i="50"/>
  <c r="H121" i="50"/>
  <c r="A122" i="50"/>
  <c r="B122" i="50"/>
  <c r="C122" i="50"/>
  <c r="D122" i="50"/>
  <c r="E122" i="50"/>
  <c r="F122" i="50"/>
  <c r="G122" i="50"/>
  <c r="H122" i="50"/>
  <c r="A123" i="50"/>
  <c r="B123" i="50"/>
  <c r="C123" i="50"/>
  <c r="D123" i="50"/>
  <c r="E123" i="50"/>
  <c r="F123" i="50"/>
  <c r="G123" i="50"/>
  <c r="H123" i="50"/>
  <c r="A124" i="50"/>
  <c r="B124" i="50"/>
  <c r="C124" i="50"/>
  <c r="D124" i="50"/>
  <c r="E124" i="50"/>
  <c r="F124" i="50"/>
  <c r="G124" i="50"/>
  <c r="H124" i="50"/>
  <c r="A125" i="50"/>
  <c r="B125" i="50"/>
  <c r="C125" i="50"/>
  <c r="D125" i="50"/>
  <c r="E125" i="50"/>
  <c r="F125" i="50"/>
  <c r="G125" i="50"/>
  <c r="I125" i="50" s="1"/>
  <c r="H125" i="50"/>
  <c r="A126" i="50"/>
  <c r="B126" i="50"/>
  <c r="C126" i="50"/>
  <c r="D126" i="50"/>
  <c r="E126" i="50"/>
  <c r="F126" i="50"/>
  <c r="G126" i="50"/>
  <c r="K126" i="50" s="1"/>
  <c r="H126" i="50"/>
  <c r="A127" i="50"/>
  <c r="B127" i="50"/>
  <c r="C127" i="50"/>
  <c r="D127" i="50"/>
  <c r="E127" i="50"/>
  <c r="F127" i="50"/>
  <c r="G127" i="50"/>
  <c r="H127" i="50"/>
  <c r="A128" i="50"/>
  <c r="B128" i="50"/>
  <c r="C128" i="50"/>
  <c r="D128" i="50"/>
  <c r="E128" i="50"/>
  <c r="F128" i="50"/>
  <c r="G128" i="50"/>
  <c r="H128" i="50"/>
  <c r="A129" i="50"/>
  <c r="B129" i="50"/>
  <c r="C129" i="50"/>
  <c r="D129" i="50"/>
  <c r="E129" i="50"/>
  <c r="F129" i="50"/>
  <c r="G129" i="50"/>
  <c r="I129" i="50" s="1"/>
  <c r="H129" i="50"/>
  <c r="A130" i="50"/>
  <c r="B130" i="50"/>
  <c r="C130" i="50"/>
  <c r="D130" i="50"/>
  <c r="E130" i="50"/>
  <c r="F130" i="50"/>
  <c r="G130" i="50"/>
  <c r="H130" i="50"/>
  <c r="A131" i="50"/>
  <c r="B131" i="50"/>
  <c r="C131" i="50"/>
  <c r="D131" i="50"/>
  <c r="E131" i="50"/>
  <c r="F131" i="50"/>
  <c r="G131" i="50"/>
  <c r="H131" i="50"/>
  <c r="A132" i="50"/>
  <c r="B132" i="50"/>
  <c r="C132" i="50"/>
  <c r="D132" i="50"/>
  <c r="E132" i="50"/>
  <c r="F132" i="50"/>
  <c r="G132" i="50"/>
  <c r="H132" i="50"/>
  <c r="A133" i="50"/>
  <c r="B133" i="50"/>
  <c r="C133" i="50"/>
  <c r="D133" i="50"/>
  <c r="E133" i="50"/>
  <c r="F133" i="50"/>
  <c r="G133" i="50"/>
  <c r="I133" i="50" s="1"/>
  <c r="H133" i="50"/>
  <c r="A134" i="50"/>
  <c r="B134" i="50"/>
  <c r="C134" i="50"/>
  <c r="D134" i="50"/>
  <c r="E134" i="50"/>
  <c r="F134" i="50"/>
  <c r="G134" i="50"/>
  <c r="H134" i="50"/>
  <c r="A135" i="50"/>
  <c r="B135" i="50"/>
  <c r="C135" i="50"/>
  <c r="D135" i="50"/>
  <c r="E135" i="50"/>
  <c r="F135" i="50"/>
  <c r="G135" i="50"/>
  <c r="I135" i="50" s="1"/>
  <c r="H135" i="50"/>
  <c r="A136" i="50"/>
  <c r="B136" i="50"/>
  <c r="C136" i="50"/>
  <c r="D136" i="50"/>
  <c r="E136" i="50"/>
  <c r="F136" i="50"/>
  <c r="G136" i="50"/>
  <c r="H136" i="50"/>
  <c r="A137" i="50"/>
  <c r="B137" i="50"/>
  <c r="C137" i="50"/>
  <c r="D137" i="50"/>
  <c r="E137" i="50"/>
  <c r="F137" i="50"/>
  <c r="G137" i="50"/>
  <c r="H137" i="50"/>
  <c r="A138" i="50"/>
  <c r="B138" i="50"/>
  <c r="C138" i="50"/>
  <c r="D138" i="50"/>
  <c r="E138" i="50"/>
  <c r="F138" i="50"/>
  <c r="G138" i="50"/>
  <c r="H138" i="50"/>
  <c r="A139" i="50"/>
  <c r="B139" i="50"/>
  <c r="C139" i="50"/>
  <c r="D139" i="50"/>
  <c r="E139" i="50"/>
  <c r="F139" i="50"/>
  <c r="G139" i="50"/>
  <c r="H139" i="50"/>
  <c r="A140" i="50"/>
  <c r="B140" i="50"/>
  <c r="C140" i="50"/>
  <c r="D140" i="50"/>
  <c r="E140" i="50"/>
  <c r="F140" i="50"/>
  <c r="G140" i="50"/>
  <c r="H140" i="50"/>
  <c r="A141" i="50"/>
  <c r="B141" i="50"/>
  <c r="C141" i="50"/>
  <c r="D141" i="50"/>
  <c r="E141" i="50"/>
  <c r="F141" i="50"/>
  <c r="G141" i="50"/>
  <c r="I141" i="50" s="1"/>
  <c r="H141" i="50"/>
  <c r="A142" i="50"/>
  <c r="B142" i="50"/>
  <c r="C142" i="50"/>
  <c r="D142" i="50"/>
  <c r="E142" i="50"/>
  <c r="F142" i="50"/>
  <c r="G142" i="50"/>
  <c r="H142" i="50"/>
  <c r="A143" i="50"/>
  <c r="B143" i="50"/>
  <c r="C143" i="50"/>
  <c r="D143" i="50"/>
  <c r="E143" i="50"/>
  <c r="F143" i="50"/>
  <c r="G143" i="50"/>
  <c r="H143" i="50"/>
  <c r="A144" i="50"/>
  <c r="B144" i="50"/>
  <c r="C144" i="50"/>
  <c r="D144" i="50"/>
  <c r="E144" i="50"/>
  <c r="F144" i="50"/>
  <c r="G144" i="50"/>
  <c r="H144" i="50"/>
  <c r="A145" i="50"/>
  <c r="B145" i="50"/>
  <c r="C145" i="50"/>
  <c r="D145" i="50"/>
  <c r="E145" i="50"/>
  <c r="F145" i="50"/>
  <c r="G145" i="50"/>
  <c r="H145" i="50"/>
  <c r="A146" i="50"/>
  <c r="B146" i="50"/>
  <c r="C146" i="50"/>
  <c r="D146" i="50"/>
  <c r="E146" i="50"/>
  <c r="F146" i="50"/>
  <c r="G146" i="50"/>
  <c r="H146" i="50"/>
  <c r="A147" i="50"/>
  <c r="B147" i="50"/>
  <c r="C147" i="50"/>
  <c r="D147" i="50"/>
  <c r="E147" i="50"/>
  <c r="F147" i="50"/>
  <c r="G147" i="50"/>
  <c r="H147" i="50"/>
  <c r="A148" i="50"/>
  <c r="B148" i="50"/>
  <c r="C148" i="50"/>
  <c r="D148" i="50"/>
  <c r="E148" i="50"/>
  <c r="F148" i="50"/>
  <c r="G148" i="50"/>
  <c r="H148" i="50"/>
  <c r="A149" i="50"/>
  <c r="B149" i="50"/>
  <c r="C149" i="50"/>
  <c r="D149" i="50"/>
  <c r="E149" i="50"/>
  <c r="F149" i="50"/>
  <c r="G149" i="50"/>
  <c r="H149" i="50"/>
  <c r="A150" i="50"/>
  <c r="B150" i="50"/>
  <c r="C150" i="50"/>
  <c r="D150" i="50"/>
  <c r="E150" i="50"/>
  <c r="F150" i="50"/>
  <c r="G150" i="50"/>
  <c r="I150" i="50" s="1"/>
  <c r="H150" i="50"/>
  <c r="A151" i="50"/>
  <c r="B151" i="50"/>
  <c r="C151" i="50"/>
  <c r="D151" i="50"/>
  <c r="E151" i="50"/>
  <c r="F151" i="50"/>
  <c r="G151" i="50"/>
  <c r="H151" i="50"/>
  <c r="A152" i="50"/>
  <c r="B152" i="50"/>
  <c r="C152" i="50"/>
  <c r="D152" i="50"/>
  <c r="E152" i="50"/>
  <c r="F152" i="50"/>
  <c r="G152" i="50"/>
  <c r="H152" i="50"/>
  <c r="A153" i="50"/>
  <c r="B153" i="50"/>
  <c r="C153" i="50"/>
  <c r="D153" i="50"/>
  <c r="E153" i="50"/>
  <c r="F153" i="50"/>
  <c r="G153" i="50"/>
  <c r="H153" i="50"/>
  <c r="A154" i="50"/>
  <c r="B154" i="50"/>
  <c r="C154" i="50"/>
  <c r="D154" i="50"/>
  <c r="E154" i="50"/>
  <c r="F154" i="50"/>
  <c r="G154" i="50"/>
  <c r="H154" i="50"/>
  <c r="A155" i="50"/>
  <c r="B155" i="50"/>
  <c r="C155" i="50"/>
  <c r="D155" i="50"/>
  <c r="E155" i="50"/>
  <c r="F155" i="50"/>
  <c r="G155" i="50"/>
  <c r="H155" i="50"/>
  <c r="A156" i="50"/>
  <c r="B156" i="50"/>
  <c r="C156" i="50"/>
  <c r="D156" i="50"/>
  <c r="E156" i="50"/>
  <c r="F156" i="50"/>
  <c r="G156" i="50"/>
  <c r="H156" i="50"/>
  <c r="A157" i="50"/>
  <c r="B157" i="50"/>
  <c r="C157" i="50"/>
  <c r="D157" i="50"/>
  <c r="E157" i="50"/>
  <c r="F157" i="50"/>
  <c r="G157" i="50"/>
  <c r="H157" i="50"/>
  <c r="A158" i="50"/>
  <c r="B158" i="50"/>
  <c r="C158" i="50"/>
  <c r="D158" i="50"/>
  <c r="E158" i="50"/>
  <c r="F158" i="50"/>
  <c r="G158" i="50"/>
  <c r="H158" i="50"/>
  <c r="A159" i="50"/>
  <c r="B159" i="50"/>
  <c r="C159" i="50"/>
  <c r="D159" i="50"/>
  <c r="E159" i="50"/>
  <c r="F159" i="50"/>
  <c r="G159" i="50"/>
  <c r="I159" i="50" s="1"/>
  <c r="H159" i="50"/>
  <c r="A160" i="50"/>
  <c r="B160" i="50"/>
  <c r="C160" i="50"/>
  <c r="D160" i="50"/>
  <c r="E160" i="50"/>
  <c r="F160" i="50"/>
  <c r="G160" i="50"/>
  <c r="H160" i="50"/>
  <c r="I160" i="50" s="1"/>
  <c r="A161" i="50"/>
  <c r="B161" i="50"/>
  <c r="C161" i="50"/>
  <c r="D161" i="50"/>
  <c r="E161" i="50"/>
  <c r="F161" i="50"/>
  <c r="G161" i="50"/>
  <c r="I161" i="50" s="1"/>
  <c r="H161" i="50"/>
  <c r="A162" i="50"/>
  <c r="B162" i="50"/>
  <c r="C162" i="50"/>
  <c r="D162" i="50"/>
  <c r="E162" i="50"/>
  <c r="F162" i="50"/>
  <c r="G162" i="50"/>
  <c r="H162" i="50"/>
  <c r="A163" i="50"/>
  <c r="B163" i="50"/>
  <c r="C163" i="50"/>
  <c r="D163" i="50"/>
  <c r="E163" i="50"/>
  <c r="F163" i="50"/>
  <c r="G163" i="50"/>
  <c r="H163" i="50"/>
  <c r="A164" i="50"/>
  <c r="B164" i="50"/>
  <c r="C164" i="50"/>
  <c r="D164" i="50"/>
  <c r="E164" i="50"/>
  <c r="F164" i="50"/>
  <c r="G164" i="50"/>
  <c r="H164" i="50"/>
  <c r="A165" i="50"/>
  <c r="B165" i="50"/>
  <c r="C165" i="50"/>
  <c r="D165" i="50"/>
  <c r="K165" i="50" s="1"/>
  <c r="E165" i="50"/>
  <c r="F165" i="50"/>
  <c r="G165" i="50"/>
  <c r="H165" i="50"/>
  <c r="A166" i="50"/>
  <c r="B166" i="50"/>
  <c r="C166" i="50"/>
  <c r="D166" i="50"/>
  <c r="E166" i="50"/>
  <c r="F166" i="50"/>
  <c r="G166" i="50"/>
  <c r="H166" i="50"/>
  <c r="A167" i="50"/>
  <c r="B167" i="50"/>
  <c r="C167" i="50"/>
  <c r="D167" i="50"/>
  <c r="E167" i="50"/>
  <c r="F167" i="50"/>
  <c r="G167" i="50"/>
  <c r="H167" i="50"/>
  <c r="A168" i="50"/>
  <c r="B168" i="50"/>
  <c r="C168" i="50"/>
  <c r="D168" i="50"/>
  <c r="E168" i="50"/>
  <c r="F168" i="50"/>
  <c r="G168" i="50"/>
  <c r="H168" i="50"/>
  <c r="A169" i="50"/>
  <c r="B169" i="50"/>
  <c r="C169" i="50"/>
  <c r="D169" i="50"/>
  <c r="E169" i="50"/>
  <c r="F169" i="50"/>
  <c r="G169" i="50"/>
  <c r="H169" i="50"/>
  <c r="I169" i="50" s="1"/>
  <c r="A170" i="50"/>
  <c r="B170" i="50"/>
  <c r="C170" i="50"/>
  <c r="E170" i="50"/>
  <c r="F170" i="50"/>
  <c r="G170" i="50"/>
  <c r="H170" i="50"/>
  <c r="A171" i="50"/>
  <c r="B171" i="50"/>
  <c r="A172" i="50"/>
  <c r="B172" i="50"/>
  <c r="A173" i="50"/>
  <c r="B173" i="50"/>
  <c r="A174" i="50"/>
  <c r="B174" i="50"/>
  <c r="A175" i="50"/>
  <c r="B175" i="50"/>
  <c r="A176" i="50"/>
  <c r="B176" i="50"/>
  <c r="A177" i="50"/>
  <c r="B177" i="50"/>
  <c r="A178" i="50"/>
  <c r="B178" i="50"/>
  <c r="A179" i="50"/>
  <c r="B179" i="50"/>
  <c r="A180" i="50"/>
  <c r="B180" i="50"/>
  <c r="E180" i="50"/>
  <c r="G180" i="50"/>
  <c r="H180" i="50"/>
  <c r="A186" i="50"/>
  <c r="B186" i="50"/>
  <c r="C186" i="50"/>
  <c r="F186" i="50"/>
  <c r="G186" i="50"/>
  <c r="F187" i="50"/>
  <c r="G187" i="50"/>
  <c r="J187" i="50"/>
  <c r="J183" i="50" s="1"/>
  <c r="K187" i="50"/>
  <c r="K181" i="50" s="1"/>
  <c r="A188" i="50"/>
  <c r="B188" i="50"/>
  <c r="C188" i="50"/>
  <c r="E188" i="50"/>
  <c r="F188" i="50"/>
  <c r="G188" i="50"/>
  <c r="A189" i="50"/>
  <c r="B189" i="50"/>
  <c r="C189" i="50"/>
  <c r="E189" i="50"/>
  <c r="F189" i="50"/>
  <c r="G189" i="50"/>
  <c r="A190" i="50"/>
  <c r="B190" i="50"/>
  <c r="C190" i="50"/>
  <c r="E190" i="50"/>
  <c r="F190" i="50"/>
  <c r="G190" i="50"/>
  <c r="A191" i="50"/>
  <c r="B191" i="50"/>
  <c r="C191" i="50"/>
  <c r="E191" i="50"/>
  <c r="F191" i="50"/>
  <c r="G191" i="50"/>
  <c r="A192" i="50"/>
  <c r="B192" i="50"/>
  <c r="C192" i="50"/>
  <c r="E192" i="50"/>
  <c r="F192" i="50"/>
  <c r="G192" i="50"/>
  <c r="A193" i="50"/>
  <c r="B193" i="50"/>
  <c r="C193" i="50"/>
  <c r="E193" i="50"/>
  <c r="F193" i="50"/>
  <c r="G193" i="50"/>
  <c r="A194" i="50"/>
  <c r="B194" i="50"/>
  <c r="C194" i="50"/>
  <c r="E194" i="50"/>
  <c r="F194" i="50"/>
  <c r="G194" i="50"/>
  <c r="A195" i="50"/>
  <c r="B195" i="50"/>
  <c r="C195" i="50"/>
  <c r="E195" i="50"/>
  <c r="F195" i="50"/>
  <c r="G195" i="50"/>
  <c r="A196" i="50"/>
  <c r="B196" i="50"/>
  <c r="C196" i="50"/>
  <c r="E196" i="50"/>
  <c r="F196" i="50"/>
  <c r="G196" i="50"/>
  <c r="A197" i="50"/>
  <c r="B197" i="50"/>
  <c r="C197" i="50"/>
  <c r="E197" i="50"/>
  <c r="F197" i="50"/>
  <c r="G197" i="50"/>
  <c r="A198" i="50"/>
  <c r="B198" i="50"/>
  <c r="C198" i="50"/>
  <c r="D198" i="50"/>
  <c r="E198" i="50"/>
  <c r="F198" i="50"/>
  <c r="G198" i="50"/>
  <c r="H198" i="50"/>
  <c r="A199" i="50"/>
  <c r="B199" i="50"/>
  <c r="C199" i="50"/>
  <c r="D199" i="50"/>
  <c r="E199" i="50"/>
  <c r="F199" i="50"/>
  <c r="G199" i="50"/>
  <c r="H199" i="50"/>
  <c r="A200" i="50"/>
  <c r="B200" i="50"/>
  <c r="C200" i="50"/>
  <c r="D200" i="50"/>
  <c r="E200" i="50"/>
  <c r="F200" i="50"/>
  <c r="G200" i="50"/>
  <c r="H200" i="50"/>
  <c r="A201" i="50"/>
  <c r="B201" i="50"/>
  <c r="C201" i="50"/>
  <c r="D201" i="50"/>
  <c r="E201" i="50"/>
  <c r="F201" i="50"/>
  <c r="G201" i="50"/>
  <c r="H201" i="50"/>
  <c r="A202" i="50"/>
  <c r="B202" i="50"/>
  <c r="C202" i="50"/>
  <c r="D202" i="50"/>
  <c r="E202" i="50"/>
  <c r="F202" i="50"/>
  <c r="G202" i="50"/>
  <c r="H202" i="50"/>
  <c r="A203" i="50"/>
  <c r="B203" i="50"/>
  <c r="C203" i="50"/>
  <c r="D203" i="50"/>
  <c r="E203" i="50"/>
  <c r="F203" i="50"/>
  <c r="G203" i="50"/>
  <c r="H203" i="50"/>
  <c r="A204" i="50"/>
  <c r="B204" i="50"/>
  <c r="C204" i="50"/>
  <c r="D204" i="50"/>
  <c r="E204" i="50"/>
  <c r="F204" i="50"/>
  <c r="G204" i="50"/>
  <c r="H204" i="50"/>
  <c r="A205" i="50"/>
  <c r="B205" i="50"/>
  <c r="C205" i="50"/>
  <c r="D205" i="50"/>
  <c r="E205" i="50"/>
  <c r="F205" i="50"/>
  <c r="G205" i="50"/>
  <c r="H205" i="50"/>
  <c r="A206" i="50"/>
  <c r="B206" i="50"/>
  <c r="C206" i="50"/>
  <c r="D206" i="50"/>
  <c r="E206" i="50"/>
  <c r="F206" i="50"/>
  <c r="G206" i="50"/>
  <c r="H206" i="50"/>
  <c r="A207" i="50"/>
  <c r="B207" i="50"/>
  <c r="C207" i="50"/>
  <c r="D207" i="50"/>
  <c r="E207" i="50"/>
  <c r="F207" i="50"/>
  <c r="G207" i="50"/>
  <c r="H207" i="50"/>
  <c r="A208" i="50"/>
  <c r="B208" i="50"/>
  <c r="C208" i="50"/>
  <c r="D208" i="50"/>
  <c r="E208" i="50"/>
  <c r="F208" i="50"/>
  <c r="G208" i="50"/>
  <c r="H208" i="50"/>
  <c r="A209" i="50"/>
  <c r="B209" i="50"/>
  <c r="C209" i="50"/>
  <c r="D209" i="50"/>
  <c r="E209" i="50"/>
  <c r="F209" i="50"/>
  <c r="G209" i="50"/>
  <c r="H209" i="50"/>
  <c r="A210" i="50"/>
  <c r="B210" i="50"/>
  <c r="C210" i="50"/>
  <c r="D210" i="50"/>
  <c r="E210" i="50"/>
  <c r="F210" i="50"/>
  <c r="G210" i="50"/>
  <c r="H210" i="50"/>
  <c r="A211" i="50"/>
  <c r="B211" i="50"/>
  <c r="C211" i="50"/>
  <c r="E211" i="50"/>
  <c r="F211" i="50"/>
  <c r="G211" i="50"/>
  <c r="A212" i="50"/>
  <c r="B212" i="50"/>
  <c r="C212" i="50"/>
  <c r="E212" i="50"/>
  <c r="F212" i="50"/>
  <c r="G212" i="50"/>
  <c r="A213" i="50"/>
  <c r="B213" i="50"/>
  <c r="C213" i="50"/>
  <c r="E213" i="50"/>
  <c r="F213" i="50"/>
  <c r="G213" i="50"/>
  <c r="A214" i="50"/>
  <c r="B214" i="50"/>
  <c r="C214" i="50"/>
  <c r="D214" i="50"/>
  <c r="E214" i="50"/>
  <c r="F214" i="50"/>
  <c r="G214" i="50"/>
  <c r="H214" i="50"/>
  <c r="A215" i="50"/>
  <c r="B215" i="50"/>
  <c r="C215" i="50"/>
  <c r="E215" i="50"/>
  <c r="F215" i="50"/>
  <c r="G215" i="50"/>
  <c r="A216" i="50"/>
  <c r="B216" i="50"/>
  <c r="C216" i="50"/>
  <c r="D216" i="50"/>
  <c r="E216" i="50"/>
  <c r="F216" i="50"/>
  <c r="G216" i="50"/>
  <c r="H216" i="50"/>
  <c r="A217" i="50"/>
  <c r="B217" i="50"/>
  <c r="C217" i="50"/>
  <c r="D217" i="50"/>
  <c r="E217" i="50"/>
  <c r="F217" i="50"/>
  <c r="G217" i="50"/>
  <c r="H217" i="50"/>
  <c r="A218" i="50"/>
  <c r="B218" i="50"/>
  <c r="C218" i="50"/>
  <c r="D218" i="50"/>
  <c r="E218" i="50"/>
  <c r="F218" i="50"/>
  <c r="G218" i="50"/>
  <c r="H218" i="50"/>
  <c r="A219" i="50"/>
  <c r="B219" i="50"/>
  <c r="C219" i="50"/>
  <c r="D219" i="50"/>
  <c r="E219" i="50"/>
  <c r="F219" i="50"/>
  <c r="G219" i="50"/>
  <c r="H219" i="50"/>
  <c r="A220" i="50"/>
  <c r="B220" i="50"/>
  <c r="C220" i="50"/>
  <c r="D220" i="50"/>
  <c r="E220" i="50"/>
  <c r="F220" i="50"/>
  <c r="G220" i="50"/>
  <c r="H220" i="50"/>
  <c r="A221" i="50"/>
  <c r="B221" i="50"/>
  <c r="C221" i="50"/>
  <c r="D221" i="50"/>
  <c r="E221" i="50"/>
  <c r="F221" i="50"/>
  <c r="G221" i="50"/>
  <c r="H221" i="50"/>
  <c r="A222" i="50"/>
  <c r="B222" i="50"/>
  <c r="C222" i="50"/>
  <c r="E222" i="50"/>
  <c r="F222" i="50"/>
  <c r="G222" i="50"/>
  <c r="H222" i="50"/>
  <c r="A223" i="50"/>
  <c r="B223" i="50"/>
  <c r="C223" i="50"/>
  <c r="E223" i="50"/>
  <c r="F223" i="50"/>
  <c r="G223" i="50"/>
  <c r="A224" i="50"/>
  <c r="B224" i="50"/>
  <c r="C224" i="50"/>
  <c r="E224" i="50"/>
  <c r="F224" i="50"/>
  <c r="G224" i="50"/>
  <c r="A225" i="50"/>
  <c r="B225" i="50"/>
  <c r="C225" i="50"/>
  <c r="E225" i="50"/>
  <c r="F225" i="50"/>
  <c r="G225" i="50"/>
  <c r="A226" i="50"/>
  <c r="B226" i="50"/>
  <c r="C226" i="50"/>
  <c r="E226" i="50"/>
  <c r="F226" i="50"/>
  <c r="G226" i="50"/>
  <c r="A227" i="50"/>
  <c r="B227" i="50"/>
  <c r="C227" i="50"/>
  <c r="E227" i="50"/>
  <c r="F227" i="50"/>
  <c r="G227" i="50"/>
  <c r="A228" i="50"/>
  <c r="B228" i="50"/>
  <c r="C228" i="50"/>
  <c r="E228" i="50"/>
  <c r="F228" i="50"/>
  <c r="G228" i="50"/>
  <c r="A229" i="50"/>
  <c r="B229" i="50"/>
  <c r="C229" i="50"/>
  <c r="E229" i="50"/>
  <c r="F229" i="50"/>
  <c r="G229" i="50"/>
  <c r="A230" i="50"/>
  <c r="B230" i="50"/>
  <c r="C230" i="50"/>
  <c r="E230" i="50"/>
  <c r="F230" i="50"/>
  <c r="G230" i="50"/>
  <c r="A231" i="50"/>
  <c r="B231" i="50"/>
  <c r="C231" i="50"/>
  <c r="E231" i="50"/>
  <c r="F231" i="50"/>
  <c r="G231" i="50"/>
  <c r="A232" i="50"/>
  <c r="B232" i="50"/>
  <c r="C232" i="50"/>
  <c r="E232" i="50"/>
  <c r="F232" i="50"/>
  <c r="G232" i="50"/>
  <c r="A233" i="50"/>
  <c r="B233" i="50"/>
  <c r="C233" i="50"/>
  <c r="E233" i="50"/>
  <c r="F233" i="50"/>
  <c r="G233" i="50"/>
  <c r="A234" i="50"/>
  <c r="B234" i="50"/>
  <c r="C234" i="50"/>
  <c r="E234" i="50"/>
  <c r="F234" i="50"/>
  <c r="G234" i="50"/>
  <c r="A235" i="50"/>
  <c r="B235" i="50"/>
  <c r="C235" i="50"/>
  <c r="E235" i="50"/>
  <c r="F235" i="50"/>
  <c r="G235" i="50"/>
  <c r="A236" i="50"/>
  <c r="B236" i="50"/>
  <c r="C236" i="50"/>
  <c r="E236" i="50"/>
  <c r="F236" i="50"/>
  <c r="G236" i="50"/>
  <c r="A237" i="50"/>
  <c r="B237" i="50"/>
  <c r="C237" i="50"/>
  <c r="E237" i="50"/>
  <c r="F237" i="50"/>
  <c r="G237" i="50"/>
  <c r="H237" i="50"/>
  <c r="A238" i="50"/>
  <c r="B238" i="50"/>
  <c r="C238" i="50"/>
  <c r="D238" i="50"/>
  <c r="E238" i="50"/>
  <c r="F238" i="50"/>
  <c r="G238" i="50"/>
  <c r="H238" i="50"/>
  <c r="A239" i="50"/>
  <c r="B239" i="50"/>
  <c r="C239" i="50"/>
  <c r="D239" i="50"/>
  <c r="E239" i="50"/>
  <c r="F239" i="50"/>
  <c r="G239" i="50"/>
  <c r="H239" i="50"/>
  <c r="A240" i="50"/>
  <c r="B240" i="50"/>
  <c r="C240" i="50"/>
  <c r="E240" i="50"/>
  <c r="F240" i="50"/>
  <c r="G240" i="50"/>
  <c r="A241" i="50"/>
  <c r="B241" i="50"/>
  <c r="C241" i="50"/>
  <c r="D241" i="50"/>
  <c r="E241" i="50"/>
  <c r="F241" i="50"/>
  <c r="G241" i="50"/>
  <c r="H241" i="50"/>
  <c r="A242" i="50"/>
  <c r="B242" i="50"/>
  <c r="C242" i="50"/>
  <c r="E242" i="50"/>
  <c r="F242" i="50"/>
  <c r="G242" i="50"/>
  <c r="A243" i="50"/>
  <c r="B243" i="50"/>
  <c r="C243" i="50"/>
  <c r="E243" i="50"/>
  <c r="F243" i="50"/>
  <c r="G243" i="50"/>
  <c r="A244" i="50"/>
  <c r="B244" i="50"/>
  <c r="C244" i="50"/>
  <c r="E244" i="50"/>
  <c r="F244" i="50"/>
  <c r="G244" i="50"/>
  <c r="A245" i="50"/>
  <c r="B245" i="50"/>
  <c r="C245" i="50"/>
  <c r="E245" i="50"/>
  <c r="F245" i="50"/>
  <c r="G245" i="50"/>
  <c r="A246" i="50"/>
  <c r="B246" i="50"/>
  <c r="C246" i="50"/>
  <c r="E246" i="50"/>
  <c r="F246" i="50"/>
  <c r="G246" i="50"/>
  <c r="A247" i="50"/>
  <c r="B247" i="50"/>
  <c r="C247" i="50"/>
  <c r="E247" i="50"/>
  <c r="F247" i="50"/>
  <c r="G247" i="50"/>
  <c r="A248" i="50"/>
  <c r="B248" i="50"/>
  <c r="C248" i="50"/>
  <c r="E248" i="50"/>
  <c r="F248" i="50"/>
  <c r="G248" i="50"/>
  <c r="A249" i="50"/>
  <c r="B249" i="50"/>
  <c r="C249" i="50"/>
  <c r="D249" i="50"/>
  <c r="E249" i="50"/>
  <c r="F249" i="50"/>
  <c r="G249" i="50"/>
  <c r="H249" i="50"/>
  <c r="A250" i="50"/>
  <c r="B250" i="50"/>
  <c r="C250" i="50"/>
  <c r="E250" i="50"/>
  <c r="F250" i="50"/>
  <c r="G250" i="50"/>
  <c r="A251" i="50"/>
  <c r="B251" i="50"/>
  <c r="C251" i="50"/>
  <c r="E251" i="50"/>
  <c r="F251" i="50"/>
  <c r="G251" i="50"/>
  <c r="A252" i="50"/>
  <c r="B252" i="50"/>
  <c r="C252" i="50"/>
  <c r="E252" i="50"/>
  <c r="F252" i="50"/>
  <c r="G252" i="50"/>
  <c r="A253" i="50"/>
  <c r="B253" i="50"/>
  <c r="C253" i="50"/>
  <c r="E253" i="50"/>
  <c r="F253" i="50"/>
  <c r="G253" i="50"/>
  <c r="A254" i="50"/>
  <c r="B254" i="50"/>
  <c r="C254" i="50"/>
  <c r="E254" i="50"/>
  <c r="F254" i="50"/>
  <c r="G254" i="50"/>
  <c r="A255" i="50"/>
  <c r="B255" i="50"/>
  <c r="C255" i="50"/>
  <c r="E255" i="50"/>
  <c r="F255" i="50"/>
  <c r="G255" i="50"/>
  <c r="A256" i="50"/>
  <c r="B256" i="50"/>
  <c r="C256" i="50"/>
  <c r="E256" i="50"/>
  <c r="F256" i="50"/>
  <c r="G256" i="50"/>
  <c r="A257" i="50"/>
  <c r="B257" i="50"/>
  <c r="C257" i="50"/>
  <c r="E257" i="50"/>
  <c r="F257" i="50"/>
  <c r="G257" i="50"/>
  <c r="H257" i="50"/>
  <c r="A258" i="50"/>
  <c r="B258" i="50"/>
  <c r="A259" i="50"/>
  <c r="B259" i="50"/>
  <c r="A260" i="50"/>
  <c r="B260" i="50"/>
  <c r="A261" i="50"/>
  <c r="B261" i="50"/>
  <c r="A262" i="50"/>
  <c r="B262" i="50"/>
  <c r="A263" i="50"/>
  <c r="B263" i="50"/>
  <c r="A264" i="50"/>
  <c r="B264" i="50"/>
  <c r="A265" i="50"/>
  <c r="B265" i="50"/>
  <c r="A266" i="50"/>
  <c r="B266" i="50"/>
  <c r="C266" i="50"/>
  <c r="G266" i="50"/>
  <c r="H266" i="50"/>
  <c r="J267" i="50"/>
  <c r="K273" i="50"/>
  <c r="A274" i="50"/>
  <c r="B274" i="50"/>
  <c r="C274" i="50"/>
  <c r="F274" i="50"/>
  <c r="G274" i="50"/>
  <c r="H274" i="50"/>
  <c r="J275" i="50"/>
  <c r="J269" i="50" s="1"/>
  <c r="K275" i="50"/>
  <c r="K269" i="50" s="1"/>
  <c r="A276" i="50"/>
  <c r="B276" i="50"/>
  <c r="C276" i="50"/>
  <c r="D276" i="50"/>
  <c r="E276" i="50"/>
  <c r="F276" i="50"/>
  <c r="G276" i="50"/>
  <c r="H276" i="50"/>
  <c r="A277" i="50"/>
  <c r="B277" i="50"/>
  <c r="C277" i="50"/>
  <c r="D277" i="50"/>
  <c r="E277" i="50"/>
  <c r="F277" i="50"/>
  <c r="G277" i="50"/>
  <c r="H277" i="50"/>
  <c r="A278" i="50"/>
  <c r="B278" i="50"/>
  <c r="C278" i="50"/>
  <c r="D278" i="50"/>
  <c r="E278" i="50"/>
  <c r="F278" i="50"/>
  <c r="G278" i="50"/>
  <c r="H278" i="50"/>
  <c r="A279" i="50"/>
  <c r="B279" i="50"/>
  <c r="C279" i="50"/>
  <c r="D279" i="50"/>
  <c r="E279" i="50"/>
  <c r="F279" i="50"/>
  <c r="G279" i="50"/>
  <c r="H279" i="50"/>
  <c r="A280" i="50"/>
  <c r="B280" i="50"/>
  <c r="C280" i="50"/>
  <c r="D280" i="50"/>
  <c r="E280" i="50"/>
  <c r="F280" i="50"/>
  <c r="G280" i="50"/>
  <c r="H280" i="50"/>
  <c r="A281" i="50"/>
  <c r="B281" i="50"/>
  <c r="C281" i="50"/>
  <c r="D281" i="50"/>
  <c r="E281" i="50"/>
  <c r="F281" i="50"/>
  <c r="G281" i="50"/>
  <c r="H281" i="50"/>
  <c r="A282" i="50"/>
  <c r="B282" i="50"/>
  <c r="C282" i="50"/>
  <c r="D282" i="50"/>
  <c r="E282" i="50"/>
  <c r="F282" i="50"/>
  <c r="G282" i="50"/>
  <c r="I282" i="50" s="1"/>
  <c r="H282" i="50"/>
  <c r="A283" i="50"/>
  <c r="B283" i="50"/>
  <c r="C283" i="50"/>
  <c r="D283" i="50"/>
  <c r="E283" i="50"/>
  <c r="F283" i="50"/>
  <c r="G283" i="50"/>
  <c r="H283" i="50"/>
  <c r="I283" i="50" s="1"/>
  <c r="A284" i="50"/>
  <c r="B284" i="50"/>
  <c r="C284" i="50"/>
  <c r="D284" i="50"/>
  <c r="E284" i="50"/>
  <c r="F284" i="50"/>
  <c r="G284" i="50"/>
  <c r="H284" i="50"/>
  <c r="A285" i="50"/>
  <c r="B285" i="50"/>
  <c r="C285" i="50"/>
  <c r="D285" i="50"/>
  <c r="E285" i="50"/>
  <c r="F285" i="50"/>
  <c r="G285" i="50"/>
  <c r="H285" i="50"/>
  <c r="A286" i="50"/>
  <c r="B286" i="50"/>
  <c r="C286" i="50"/>
  <c r="D286" i="50"/>
  <c r="E286" i="50"/>
  <c r="F286" i="50"/>
  <c r="G286" i="50"/>
  <c r="H286" i="50"/>
  <c r="A287" i="50"/>
  <c r="B287" i="50"/>
  <c r="C287" i="50"/>
  <c r="D287" i="50"/>
  <c r="E287" i="50"/>
  <c r="F287" i="50"/>
  <c r="G287" i="50"/>
  <c r="H287" i="50"/>
  <c r="A288" i="50"/>
  <c r="B288" i="50"/>
  <c r="C288" i="50"/>
  <c r="D288" i="50"/>
  <c r="E288" i="50"/>
  <c r="F288" i="50"/>
  <c r="G288" i="50"/>
  <c r="H288" i="50"/>
  <c r="A289" i="50"/>
  <c r="B289" i="50"/>
  <c r="C289" i="50"/>
  <c r="D289" i="50"/>
  <c r="E289" i="50"/>
  <c r="F289" i="50"/>
  <c r="G289" i="50"/>
  <c r="I289" i="50" s="1"/>
  <c r="H289" i="50"/>
  <c r="A290" i="50"/>
  <c r="B290" i="50"/>
  <c r="C290" i="50"/>
  <c r="D290" i="50"/>
  <c r="E290" i="50"/>
  <c r="F290" i="50"/>
  <c r="G290" i="50"/>
  <c r="I290" i="50" s="1"/>
  <c r="H290" i="50"/>
  <c r="A291" i="50"/>
  <c r="B291" i="50"/>
  <c r="C291" i="50"/>
  <c r="D291" i="50"/>
  <c r="E291" i="50"/>
  <c r="F291" i="50"/>
  <c r="G291" i="50"/>
  <c r="H291" i="50"/>
  <c r="A292" i="50"/>
  <c r="B292" i="50"/>
  <c r="C292" i="50"/>
  <c r="D292" i="50"/>
  <c r="E292" i="50"/>
  <c r="F292" i="50"/>
  <c r="G292" i="50"/>
  <c r="H292" i="50"/>
  <c r="A293" i="50"/>
  <c r="B293" i="50"/>
  <c r="C293" i="50"/>
  <c r="D293" i="50"/>
  <c r="E293" i="50"/>
  <c r="F293" i="50"/>
  <c r="G293" i="50"/>
  <c r="H293" i="50"/>
  <c r="A294" i="50"/>
  <c r="B294" i="50"/>
  <c r="C294" i="50"/>
  <c r="D294" i="50"/>
  <c r="E294" i="50"/>
  <c r="F294" i="50"/>
  <c r="G294" i="50"/>
  <c r="H294" i="50"/>
  <c r="A295" i="50"/>
  <c r="B295" i="50"/>
  <c r="C295" i="50"/>
  <c r="D295" i="50"/>
  <c r="E295" i="50"/>
  <c r="F295" i="50"/>
  <c r="G295" i="50"/>
  <c r="I295" i="50" s="1"/>
  <c r="H295" i="50"/>
  <c r="A296" i="50"/>
  <c r="B296" i="50"/>
  <c r="C296" i="50"/>
  <c r="D296" i="50"/>
  <c r="E296" i="50"/>
  <c r="F296" i="50"/>
  <c r="G296" i="50"/>
  <c r="H296" i="50"/>
  <c r="A297" i="50"/>
  <c r="B297" i="50"/>
  <c r="C297" i="50"/>
  <c r="D297" i="50"/>
  <c r="E297" i="50"/>
  <c r="F297" i="50"/>
  <c r="G297" i="50"/>
  <c r="H297" i="50"/>
  <c r="A298" i="50"/>
  <c r="B298" i="50"/>
  <c r="C298" i="50"/>
  <c r="D298" i="50"/>
  <c r="E298" i="50"/>
  <c r="F298" i="50"/>
  <c r="G298" i="50"/>
  <c r="H298" i="50"/>
  <c r="A299" i="50"/>
  <c r="B299" i="50"/>
  <c r="C299" i="50"/>
  <c r="D299" i="50"/>
  <c r="E299" i="50"/>
  <c r="F299" i="50"/>
  <c r="G299" i="50"/>
  <c r="H299" i="50"/>
  <c r="A300" i="50"/>
  <c r="B300" i="50"/>
  <c r="C300" i="50"/>
  <c r="D300" i="50"/>
  <c r="E300" i="50"/>
  <c r="F300" i="50"/>
  <c r="G300" i="50"/>
  <c r="H300" i="50"/>
  <c r="A301" i="50"/>
  <c r="B301" i="50"/>
  <c r="C301" i="50"/>
  <c r="D301" i="50"/>
  <c r="E301" i="50"/>
  <c r="F301" i="50"/>
  <c r="G301" i="50"/>
  <c r="H301" i="50"/>
  <c r="A302" i="50"/>
  <c r="B302" i="50"/>
  <c r="C302" i="50"/>
  <c r="D302" i="50"/>
  <c r="E302" i="50"/>
  <c r="F302" i="50"/>
  <c r="G302" i="50"/>
  <c r="H302" i="50"/>
  <c r="A303" i="50"/>
  <c r="B303" i="50"/>
  <c r="C303" i="50"/>
  <c r="D303" i="50"/>
  <c r="E303" i="50"/>
  <c r="F303" i="50"/>
  <c r="G303" i="50"/>
  <c r="H303" i="50"/>
  <c r="A304" i="50"/>
  <c r="B304" i="50"/>
  <c r="C304" i="50"/>
  <c r="D304" i="50"/>
  <c r="E304" i="50"/>
  <c r="F304" i="50"/>
  <c r="G304" i="50"/>
  <c r="I304" i="50" s="1"/>
  <c r="H304" i="50"/>
  <c r="A305" i="50"/>
  <c r="B305" i="50"/>
  <c r="C305" i="50"/>
  <c r="D305" i="50"/>
  <c r="E305" i="50"/>
  <c r="F305" i="50"/>
  <c r="G305" i="50"/>
  <c r="I305" i="50" s="1"/>
  <c r="H305" i="50"/>
  <c r="A306" i="50"/>
  <c r="B306" i="50"/>
  <c r="C306" i="50"/>
  <c r="D306" i="50"/>
  <c r="E306" i="50"/>
  <c r="F306" i="50"/>
  <c r="G306" i="50"/>
  <c r="H306" i="50"/>
  <c r="A307" i="50"/>
  <c r="B307" i="50"/>
  <c r="C307" i="50"/>
  <c r="D307" i="50"/>
  <c r="E307" i="50"/>
  <c r="F307" i="50"/>
  <c r="G307" i="50"/>
  <c r="A308" i="50"/>
  <c r="B308" i="50"/>
  <c r="C308" i="50"/>
  <c r="D308" i="50"/>
  <c r="E308" i="50"/>
  <c r="F308" i="50"/>
  <c r="G308" i="50"/>
  <c r="H308" i="50"/>
  <c r="A309" i="50"/>
  <c r="B309" i="50"/>
  <c r="C309" i="50"/>
  <c r="D309" i="50"/>
  <c r="E309" i="50"/>
  <c r="F309" i="50"/>
  <c r="G309" i="50"/>
  <c r="H309" i="50"/>
  <c r="A310" i="50"/>
  <c r="B310" i="50"/>
  <c r="C310" i="50"/>
  <c r="D310" i="50"/>
  <c r="E310" i="50"/>
  <c r="F310" i="50"/>
  <c r="G310" i="50"/>
  <c r="H310" i="50"/>
  <c r="I310" i="50" s="1"/>
  <c r="A311" i="50"/>
  <c r="B311" i="50"/>
  <c r="C311" i="50"/>
  <c r="D311" i="50"/>
  <c r="E311" i="50"/>
  <c r="F311" i="50"/>
  <c r="G311" i="50"/>
  <c r="H311" i="50"/>
  <c r="A312" i="50"/>
  <c r="B312" i="50"/>
  <c r="C312" i="50"/>
  <c r="D312" i="50"/>
  <c r="E312" i="50"/>
  <c r="F312" i="50"/>
  <c r="G312" i="50"/>
  <c r="A313" i="50"/>
  <c r="B313" i="50"/>
  <c r="C313" i="50"/>
  <c r="D313" i="50"/>
  <c r="E313" i="50"/>
  <c r="F313" i="50"/>
  <c r="G313" i="50"/>
  <c r="H313" i="50"/>
  <c r="A314" i="50"/>
  <c r="B314" i="50"/>
  <c r="C314" i="50"/>
  <c r="D314" i="50"/>
  <c r="E314" i="50"/>
  <c r="F314" i="50"/>
  <c r="G314" i="50"/>
  <c r="H314" i="50"/>
  <c r="I314" i="50" s="1"/>
  <c r="A315" i="50"/>
  <c r="B315" i="50"/>
  <c r="C315" i="50"/>
  <c r="D315" i="50"/>
  <c r="E315" i="50"/>
  <c r="F315" i="50"/>
  <c r="G315" i="50"/>
  <c r="A316" i="50"/>
  <c r="B316" i="50"/>
  <c r="C316" i="50"/>
  <c r="D316" i="50"/>
  <c r="E316" i="50"/>
  <c r="F316" i="50"/>
  <c r="G316" i="50"/>
  <c r="H316" i="50"/>
  <c r="A317" i="50"/>
  <c r="B317" i="50"/>
  <c r="C317" i="50"/>
  <c r="D317" i="50"/>
  <c r="E317" i="50"/>
  <c r="F317" i="50"/>
  <c r="G317" i="50"/>
  <c r="H317" i="50"/>
  <c r="A318" i="50"/>
  <c r="B318" i="50"/>
  <c r="C318" i="50"/>
  <c r="D318" i="50"/>
  <c r="E318" i="50"/>
  <c r="F318" i="50"/>
  <c r="G318" i="50"/>
  <c r="H318" i="50"/>
  <c r="A319" i="50"/>
  <c r="B319" i="50"/>
  <c r="C319" i="50"/>
  <c r="D319" i="50"/>
  <c r="E319" i="50"/>
  <c r="F319" i="50"/>
  <c r="G319" i="50"/>
  <c r="H319" i="50"/>
  <c r="A320" i="50"/>
  <c r="B320" i="50"/>
  <c r="C320" i="50"/>
  <c r="D320" i="50"/>
  <c r="E320" i="50"/>
  <c r="F320" i="50"/>
  <c r="G320" i="50"/>
  <c r="H320" i="50"/>
  <c r="A321" i="50"/>
  <c r="B321" i="50"/>
  <c r="C321" i="50"/>
  <c r="D321" i="50"/>
  <c r="E321" i="50"/>
  <c r="F321" i="50"/>
  <c r="G321" i="50"/>
  <c r="H321" i="50"/>
  <c r="A322" i="50"/>
  <c r="B322" i="50"/>
  <c r="C322" i="50"/>
  <c r="D322" i="50"/>
  <c r="E322" i="50"/>
  <c r="F322" i="50"/>
  <c r="G322" i="50"/>
  <c r="H322" i="50"/>
  <c r="A323" i="50"/>
  <c r="B323" i="50"/>
  <c r="C323" i="50"/>
  <c r="D323" i="50"/>
  <c r="E323" i="50"/>
  <c r="F323" i="50"/>
  <c r="G323" i="50"/>
  <c r="H323" i="50"/>
  <c r="A324" i="50"/>
  <c r="B324" i="50"/>
  <c r="C324" i="50"/>
  <c r="D324" i="50"/>
  <c r="E324" i="50"/>
  <c r="F324" i="50"/>
  <c r="G324" i="50"/>
  <c r="H324" i="50"/>
  <c r="A325" i="50"/>
  <c r="B325" i="50"/>
  <c r="C325" i="50"/>
  <c r="D325" i="50"/>
  <c r="E325" i="50"/>
  <c r="F325" i="50"/>
  <c r="G325" i="50"/>
  <c r="H325" i="50"/>
  <c r="A326" i="50"/>
  <c r="B326" i="50"/>
  <c r="C326" i="50"/>
  <c r="D326" i="50"/>
  <c r="E326" i="50"/>
  <c r="F326" i="50"/>
  <c r="G326" i="50"/>
  <c r="H326" i="50"/>
  <c r="A327" i="50"/>
  <c r="B327" i="50"/>
  <c r="C327" i="50"/>
  <c r="D327" i="50"/>
  <c r="E327" i="50"/>
  <c r="F327" i="50"/>
  <c r="G327" i="50"/>
  <c r="H327" i="50"/>
  <c r="A328" i="50"/>
  <c r="B328" i="50"/>
  <c r="C328" i="50"/>
  <c r="D328" i="50"/>
  <c r="E328" i="50"/>
  <c r="F328" i="50"/>
  <c r="G328" i="50"/>
  <c r="H328" i="50"/>
  <c r="A329" i="50"/>
  <c r="B329" i="50"/>
  <c r="C329" i="50"/>
  <c r="D329" i="50"/>
  <c r="E329" i="50"/>
  <c r="F329" i="50"/>
  <c r="G329" i="50"/>
  <c r="H329" i="50"/>
  <c r="A330" i="50"/>
  <c r="B330" i="50"/>
  <c r="C330" i="50"/>
  <c r="D330" i="50"/>
  <c r="E330" i="50"/>
  <c r="F330" i="50"/>
  <c r="G330" i="50"/>
  <c r="H330" i="50"/>
  <c r="A331" i="50"/>
  <c r="B331" i="50"/>
  <c r="C331" i="50"/>
  <c r="D331" i="50"/>
  <c r="E331" i="50"/>
  <c r="F331" i="50"/>
  <c r="G331" i="50"/>
  <c r="H331" i="50"/>
  <c r="A332" i="50"/>
  <c r="B332" i="50"/>
  <c r="C332" i="50"/>
  <c r="D332" i="50"/>
  <c r="E332" i="50"/>
  <c r="F332" i="50"/>
  <c r="G332" i="50"/>
  <c r="H332" i="50"/>
  <c r="A333" i="50"/>
  <c r="B333" i="50"/>
  <c r="C333" i="50"/>
  <c r="D333" i="50"/>
  <c r="E333" i="50"/>
  <c r="F333" i="50"/>
  <c r="G333" i="50"/>
  <c r="H333" i="50"/>
  <c r="A334" i="50"/>
  <c r="B334" i="50"/>
  <c r="C334" i="50"/>
  <c r="D334" i="50"/>
  <c r="E334" i="50"/>
  <c r="F334" i="50"/>
  <c r="G334" i="50"/>
  <c r="H334" i="50"/>
  <c r="A335" i="50"/>
  <c r="B335" i="50"/>
  <c r="C335" i="50"/>
  <c r="D335" i="50"/>
  <c r="E335" i="50"/>
  <c r="F335" i="50"/>
  <c r="G335" i="50"/>
  <c r="H335" i="50"/>
  <c r="A336" i="50"/>
  <c r="B336" i="50"/>
  <c r="C336" i="50"/>
  <c r="D336" i="50"/>
  <c r="E336" i="50"/>
  <c r="F336" i="50"/>
  <c r="G336" i="50"/>
  <c r="I336" i="50" s="1"/>
  <c r="H336" i="50"/>
  <c r="A337" i="50"/>
  <c r="B337" i="50"/>
  <c r="C337" i="50"/>
  <c r="D337" i="50"/>
  <c r="E337" i="50"/>
  <c r="F337" i="50"/>
  <c r="G337" i="50"/>
  <c r="H337" i="50"/>
  <c r="A338" i="50"/>
  <c r="B338" i="50"/>
  <c r="C338" i="50"/>
  <c r="D338" i="50"/>
  <c r="E338" i="50"/>
  <c r="F338" i="50"/>
  <c r="G338" i="50"/>
  <c r="H338" i="50"/>
  <c r="A339" i="50"/>
  <c r="B339" i="50"/>
  <c r="C339" i="50"/>
  <c r="D339" i="50"/>
  <c r="E339" i="50"/>
  <c r="F339" i="50"/>
  <c r="G339" i="50"/>
  <c r="H339" i="50"/>
  <c r="A340" i="50"/>
  <c r="B340" i="50"/>
  <c r="C340" i="50"/>
  <c r="D340" i="50"/>
  <c r="E340" i="50"/>
  <c r="F340" i="50"/>
  <c r="G340" i="50"/>
  <c r="H340" i="50"/>
  <c r="A341" i="50"/>
  <c r="B341" i="50"/>
  <c r="C341" i="50"/>
  <c r="D341" i="50"/>
  <c r="E341" i="50"/>
  <c r="F341" i="50"/>
  <c r="G341" i="50"/>
  <c r="H341" i="50"/>
  <c r="A342" i="50"/>
  <c r="B342" i="50"/>
  <c r="C342" i="50"/>
  <c r="D342" i="50"/>
  <c r="E342" i="50"/>
  <c r="F342" i="50"/>
  <c r="G342" i="50"/>
  <c r="I342" i="50" s="1"/>
  <c r="H342" i="50"/>
  <c r="A343" i="50"/>
  <c r="B343" i="50"/>
  <c r="C343" i="50"/>
  <c r="D343" i="50"/>
  <c r="E343" i="50"/>
  <c r="F343" i="50"/>
  <c r="G343" i="50"/>
  <c r="H343" i="50"/>
  <c r="A344" i="50"/>
  <c r="B344" i="50"/>
  <c r="C344" i="50"/>
  <c r="D344" i="50"/>
  <c r="E344" i="50"/>
  <c r="F344" i="50"/>
  <c r="G344" i="50"/>
  <c r="H344" i="50"/>
  <c r="A345" i="50"/>
  <c r="B345" i="50"/>
  <c r="C345" i="50"/>
  <c r="D345" i="50"/>
  <c r="E345" i="50"/>
  <c r="F345" i="50"/>
  <c r="G345" i="50"/>
  <c r="H345" i="50"/>
  <c r="A346" i="50"/>
  <c r="B346" i="50"/>
  <c r="C346" i="50"/>
  <c r="D346" i="50"/>
  <c r="E346" i="50"/>
  <c r="F346" i="50"/>
  <c r="G346" i="50"/>
  <c r="H346" i="50"/>
  <c r="A347" i="50"/>
  <c r="B347" i="50"/>
  <c r="C347" i="50"/>
  <c r="E347" i="50"/>
  <c r="F347" i="50"/>
  <c r="G347" i="50"/>
  <c r="H347" i="50"/>
  <c r="A348" i="50"/>
  <c r="B348" i="50"/>
  <c r="A349" i="50"/>
  <c r="B349" i="50"/>
  <c r="A350" i="50"/>
  <c r="B350" i="50"/>
  <c r="A351" i="50"/>
  <c r="B351" i="50"/>
  <c r="A352" i="50"/>
  <c r="B352" i="50"/>
  <c r="A353" i="50"/>
  <c r="B353" i="50"/>
  <c r="A354" i="50"/>
  <c r="B354" i="50"/>
  <c r="A355" i="50"/>
  <c r="B355" i="50"/>
  <c r="E355" i="50"/>
  <c r="F355" i="50"/>
  <c r="G355" i="50"/>
  <c r="A356" i="50"/>
  <c r="B356" i="50"/>
  <c r="C356" i="50"/>
  <c r="E356" i="50"/>
  <c r="F356" i="50"/>
  <c r="G356" i="50"/>
  <c r="A357" i="50"/>
  <c r="B357" i="50"/>
  <c r="C357" i="50"/>
  <c r="E357" i="50"/>
  <c r="F357" i="50"/>
  <c r="G357" i="50"/>
  <c r="A358" i="50"/>
  <c r="B358" i="50"/>
  <c r="C358" i="50"/>
  <c r="E358" i="50"/>
  <c r="F358" i="50"/>
  <c r="G358" i="50"/>
  <c r="A359" i="50"/>
  <c r="B359" i="50"/>
  <c r="C359" i="50"/>
  <c r="E359" i="50"/>
  <c r="F359" i="50"/>
  <c r="G359" i="50"/>
  <c r="A360" i="50"/>
  <c r="B360" i="50"/>
  <c r="C360" i="50"/>
  <c r="E360" i="50"/>
  <c r="F360" i="50"/>
  <c r="G360" i="50"/>
  <c r="A361" i="50"/>
  <c r="B361" i="50"/>
  <c r="C361" i="50"/>
  <c r="E361" i="50"/>
  <c r="F361" i="50"/>
  <c r="G361" i="50"/>
  <c r="A362" i="50"/>
  <c r="B362" i="50"/>
  <c r="C362" i="50"/>
  <c r="E362" i="50"/>
  <c r="F362" i="50"/>
  <c r="G362" i="50"/>
  <c r="A363" i="50"/>
  <c r="B363" i="50"/>
  <c r="C363" i="50"/>
  <c r="E363" i="50"/>
  <c r="F363" i="50"/>
  <c r="G363" i="50"/>
  <c r="H363" i="50"/>
  <c r="B364" i="50"/>
  <c r="C364" i="50"/>
  <c r="E364" i="50"/>
  <c r="F364" i="50"/>
  <c r="G364" i="50"/>
  <c r="H364" i="50"/>
  <c r="B365" i="50"/>
  <c r="C365" i="50"/>
  <c r="E365" i="50"/>
  <c r="F365" i="50"/>
  <c r="G365" i="50"/>
  <c r="H365" i="50"/>
  <c r="B366" i="50"/>
  <c r="C366" i="50"/>
  <c r="E366" i="50"/>
  <c r="F366" i="50"/>
  <c r="G366" i="50"/>
  <c r="H366" i="50"/>
  <c r="B367" i="50"/>
  <c r="C367" i="50"/>
  <c r="E367" i="50"/>
  <c r="F367" i="50"/>
  <c r="G367" i="50"/>
  <c r="H367" i="50"/>
  <c r="D7" i="49"/>
  <c r="P7" i="49" s="1"/>
  <c r="S7" i="49" s="1"/>
  <c r="U7" i="49" s="1"/>
  <c r="E7" i="49"/>
  <c r="Q7" i="49" s="1"/>
  <c r="L7" i="49"/>
  <c r="D8" i="49"/>
  <c r="E8" i="49"/>
  <c r="Q8" i="49" s="1"/>
  <c r="L8" i="49"/>
  <c r="D9" i="49"/>
  <c r="P9" i="49" s="1"/>
  <c r="E9" i="49"/>
  <c r="K9" i="49" s="1"/>
  <c r="L9" i="49"/>
  <c r="Q9" i="49"/>
  <c r="S9" i="49" s="1"/>
  <c r="U9" i="49" s="1"/>
  <c r="D11" i="49"/>
  <c r="J11" i="49" s="1"/>
  <c r="E11" i="49"/>
  <c r="F11" i="49"/>
  <c r="L11" i="49"/>
  <c r="R11" i="49"/>
  <c r="D12" i="49"/>
  <c r="P12" i="49" s="1"/>
  <c r="E12" i="49"/>
  <c r="K12" i="49" s="1"/>
  <c r="F12" i="49"/>
  <c r="R12" i="49" s="1"/>
  <c r="J12" i="49"/>
  <c r="L12" i="49"/>
  <c r="M12" i="49"/>
  <c r="O12" i="49" s="1"/>
  <c r="D13" i="49"/>
  <c r="E13" i="49"/>
  <c r="Q13" i="49" s="1"/>
  <c r="F13" i="49"/>
  <c r="R13" i="49" s="1"/>
  <c r="L13" i="49"/>
  <c r="D14" i="49"/>
  <c r="J14" i="49" s="1"/>
  <c r="E14" i="49"/>
  <c r="G14" i="49" s="1"/>
  <c r="I14" i="49" s="1"/>
  <c r="F14" i="49"/>
  <c r="L14" i="49"/>
  <c r="D15" i="49"/>
  <c r="E15" i="49"/>
  <c r="G15" i="49"/>
  <c r="I15" i="49" s="1"/>
  <c r="J15" i="49"/>
  <c r="K15" i="49"/>
  <c r="P15" i="49"/>
  <c r="S15" i="49" s="1"/>
  <c r="U15" i="49" s="1"/>
  <c r="Q15" i="49"/>
  <c r="D16" i="49"/>
  <c r="E16" i="49"/>
  <c r="G16" i="49" s="1"/>
  <c r="I16" i="49" s="1"/>
  <c r="J16" i="49"/>
  <c r="K16" i="49"/>
  <c r="P16" i="49"/>
  <c r="Q16" i="49"/>
  <c r="S16" i="49" s="1"/>
  <c r="U16" i="49" s="1"/>
  <c r="D17" i="49"/>
  <c r="E17" i="49"/>
  <c r="G17" i="49"/>
  <c r="I17" i="49" s="1"/>
  <c r="J17" i="49"/>
  <c r="K17" i="49"/>
  <c r="P17" i="49"/>
  <c r="Q17" i="49"/>
  <c r="S17" i="49" s="1"/>
  <c r="U17" i="49" s="1"/>
  <c r="D18" i="49"/>
  <c r="E18" i="49"/>
  <c r="G18" i="49" s="1"/>
  <c r="I18" i="49" s="1"/>
  <c r="F18" i="49"/>
  <c r="J18" i="49"/>
  <c r="K18" i="49"/>
  <c r="L18" i="49"/>
  <c r="N18" i="49" s="1"/>
  <c r="M18" i="49"/>
  <c r="O18" i="49" s="1"/>
  <c r="P18" i="49"/>
  <c r="Q18" i="49"/>
  <c r="R18" i="49"/>
  <c r="D19" i="49"/>
  <c r="E19" i="49"/>
  <c r="F19" i="49"/>
  <c r="J19" i="49"/>
  <c r="M19" i="49" s="1"/>
  <c r="O19" i="49" s="1"/>
  <c r="K19" i="49"/>
  <c r="L19" i="49"/>
  <c r="P19" i="49"/>
  <c r="Q19" i="49"/>
  <c r="S19" i="49" s="1"/>
  <c r="U19" i="49" s="1"/>
  <c r="R19" i="49"/>
  <c r="D20" i="49"/>
  <c r="G20" i="49" s="1"/>
  <c r="I20" i="49" s="1"/>
  <c r="E20" i="49"/>
  <c r="J20" i="49"/>
  <c r="K20" i="49"/>
  <c r="P20" i="49"/>
  <c r="Q20" i="49"/>
  <c r="S20" i="49" s="1"/>
  <c r="U20" i="49" s="1"/>
  <c r="D21" i="49"/>
  <c r="E21" i="49"/>
  <c r="G21" i="49" s="1"/>
  <c r="I21" i="49" s="1"/>
  <c r="J21" i="49"/>
  <c r="K21" i="49"/>
  <c r="M21" i="49" s="1"/>
  <c r="O21" i="49" s="1"/>
  <c r="P21" i="49"/>
  <c r="Q21" i="49"/>
  <c r="S21" i="49" s="1"/>
  <c r="U21" i="49" s="1"/>
  <c r="D22" i="49"/>
  <c r="E22" i="49"/>
  <c r="G22" i="49" s="1"/>
  <c r="I22" i="49" s="1"/>
  <c r="J22" i="49"/>
  <c r="K22" i="49"/>
  <c r="P22" i="49"/>
  <c r="Q22" i="49"/>
  <c r="D23" i="49"/>
  <c r="E23" i="49"/>
  <c r="F23" i="49"/>
  <c r="H23" i="49" s="1"/>
  <c r="J23" i="49"/>
  <c r="M23" i="49" s="1"/>
  <c r="O23" i="49" s="1"/>
  <c r="K23" i="49"/>
  <c r="L23" i="49"/>
  <c r="P23" i="49"/>
  <c r="Q23" i="49"/>
  <c r="S23" i="49"/>
  <c r="U23" i="49" s="1"/>
  <c r="R23" i="49"/>
  <c r="T23" i="49" s="1"/>
  <c r="D24" i="49"/>
  <c r="E24" i="49"/>
  <c r="F24" i="49"/>
  <c r="J24" i="49"/>
  <c r="K24" i="49"/>
  <c r="M24" i="49" s="1"/>
  <c r="O24" i="49" s="1"/>
  <c r="L24" i="49"/>
  <c r="N24" i="49" s="1"/>
  <c r="P24" i="49"/>
  <c r="Q24" i="49"/>
  <c r="R24" i="49"/>
  <c r="D25" i="49"/>
  <c r="G25" i="49" s="1"/>
  <c r="I25" i="49" s="1"/>
  <c r="E25" i="49"/>
  <c r="K25" i="49" s="1"/>
  <c r="L25" i="49"/>
  <c r="D26" i="49"/>
  <c r="E26" i="49"/>
  <c r="K26" i="49" s="1"/>
  <c r="L26" i="49"/>
  <c r="D27" i="49"/>
  <c r="P27" i="49" s="1"/>
  <c r="E27" i="49"/>
  <c r="J27" i="49"/>
  <c r="L27" i="49"/>
  <c r="D28" i="49"/>
  <c r="E28" i="49"/>
  <c r="K28" i="49" s="1"/>
  <c r="F28" i="49"/>
  <c r="R28" i="49" s="1"/>
  <c r="L28" i="49"/>
  <c r="D29" i="49"/>
  <c r="J29" i="49" s="1"/>
  <c r="E29" i="49"/>
  <c r="Q29" i="49"/>
  <c r="F29" i="49"/>
  <c r="R29" i="49" s="1"/>
  <c r="T29" i="49" s="1"/>
  <c r="H29" i="49"/>
  <c r="L29" i="49"/>
  <c r="D30" i="49"/>
  <c r="E30" i="49"/>
  <c r="F30" i="49"/>
  <c r="L30" i="49"/>
  <c r="D31" i="49"/>
  <c r="J31" i="49" s="1"/>
  <c r="E31" i="49"/>
  <c r="G31" i="49" s="1"/>
  <c r="I31" i="49" s="1"/>
  <c r="F31" i="49"/>
  <c r="R31" i="49" s="1"/>
  <c r="L31" i="49"/>
  <c r="P31" i="49"/>
  <c r="D32" i="49"/>
  <c r="E32" i="49"/>
  <c r="J32" i="49"/>
  <c r="M32" i="49" s="1"/>
  <c r="O32" i="49" s="1"/>
  <c r="K32" i="49"/>
  <c r="K33" i="49" s="1"/>
  <c r="P32" i="49"/>
  <c r="Q32" i="49"/>
  <c r="S32" i="49" s="1"/>
  <c r="U32" i="49" s="1"/>
  <c r="D33" i="49"/>
  <c r="D34" i="49" s="1"/>
  <c r="D35" i="49" s="1"/>
  <c r="D36" i="49" s="1"/>
  <c r="J33" i="49"/>
  <c r="P33" i="49"/>
  <c r="Q33" i="49"/>
  <c r="Q34" i="49" s="1"/>
  <c r="J34" i="49"/>
  <c r="P34" i="49"/>
  <c r="J35" i="49"/>
  <c r="P35" i="49"/>
  <c r="J36" i="49"/>
  <c r="P36" i="49"/>
  <c r="D37" i="49"/>
  <c r="D38" i="49" s="1"/>
  <c r="D39" i="49" s="1"/>
  <c r="D40" i="49" s="1"/>
  <c r="D41" i="49" s="1"/>
  <c r="E37" i="49"/>
  <c r="E38" i="49" s="1"/>
  <c r="E39" i="49" s="1"/>
  <c r="J37" i="49"/>
  <c r="J38" i="49" s="1"/>
  <c r="J39" i="49" s="1"/>
  <c r="J40" i="49" s="1"/>
  <c r="J41" i="49" s="1"/>
  <c r="K37" i="49"/>
  <c r="M37" i="49" s="1"/>
  <c r="O37" i="49" s="1"/>
  <c r="P37" i="49"/>
  <c r="P38" i="49"/>
  <c r="P39" i="49" s="1"/>
  <c r="P40" i="49" s="1"/>
  <c r="P41" i="49" s="1"/>
  <c r="Q37" i="49"/>
  <c r="Q38" i="49" s="1"/>
  <c r="D42" i="49"/>
  <c r="E42" i="49"/>
  <c r="E43" i="49"/>
  <c r="J42" i="49"/>
  <c r="J43" i="49" s="1"/>
  <c r="K42" i="49"/>
  <c r="K43" i="49" s="1"/>
  <c r="P42" i="49"/>
  <c r="P43" i="49" s="1"/>
  <c r="P44" i="49" s="1"/>
  <c r="P45" i="49" s="1"/>
  <c r="P46" i="49" s="1"/>
  <c r="Q42" i="49"/>
  <c r="S42" i="49"/>
  <c r="U42" i="49" s="1"/>
  <c r="Q43" i="49"/>
  <c r="Q44" i="49"/>
  <c r="S44" i="49" s="1"/>
  <c r="U44" i="49" s="1"/>
  <c r="O55" i="49"/>
  <c r="A3" i="48"/>
  <c r="B3" i="48"/>
  <c r="C3" i="48"/>
  <c r="D3" i="48"/>
  <c r="E3" i="48"/>
  <c r="F3" i="48"/>
  <c r="G3" i="48"/>
  <c r="H3" i="48"/>
  <c r="I3" i="48"/>
  <c r="J3" i="48"/>
  <c r="K3" i="48"/>
  <c r="L3" i="48"/>
  <c r="M3" i="48"/>
  <c r="N3" i="48"/>
  <c r="O3" i="48"/>
  <c r="A4" i="48"/>
  <c r="B4" i="48"/>
  <c r="C4" i="48"/>
  <c r="D4" i="48"/>
  <c r="E4" i="48"/>
  <c r="F4" i="48"/>
  <c r="G4" i="48"/>
  <c r="H4" i="48"/>
  <c r="I4" i="48"/>
  <c r="J4" i="48"/>
  <c r="K4" i="48"/>
  <c r="L4" i="48"/>
  <c r="M4" i="48"/>
  <c r="N4" i="48"/>
  <c r="O4" i="48"/>
  <c r="A5" i="48"/>
  <c r="B5" i="48"/>
  <c r="C5" i="48"/>
  <c r="D5" i="48"/>
  <c r="E5" i="48"/>
  <c r="F5" i="48"/>
  <c r="G5" i="48"/>
  <c r="H5" i="48"/>
  <c r="I5" i="48"/>
  <c r="J5" i="48"/>
  <c r="K5" i="48"/>
  <c r="L5" i="48"/>
  <c r="M5" i="48"/>
  <c r="N5" i="48"/>
  <c r="O5" i="48"/>
  <c r="A6" i="48"/>
  <c r="B6" i="48"/>
  <c r="C6" i="48"/>
  <c r="D6" i="48"/>
  <c r="E6" i="48"/>
  <c r="F6" i="48"/>
  <c r="G6" i="48"/>
  <c r="H6" i="48"/>
  <c r="I6" i="48"/>
  <c r="J6" i="48"/>
  <c r="K6" i="48"/>
  <c r="L6" i="48"/>
  <c r="M6" i="48"/>
  <c r="N6" i="48"/>
  <c r="O6" i="48"/>
  <c r="B7" i="48"/>
  <c r="C7" i="48"/>
  <c r="D7" i="48"/>
  <c r="A8" i="48"/>
  <c r="B8" i="48"/>
  <c r="C8" i="48"/>
  <c r="D8" i="48"/>
  <c r="A9" i="48"/>
  <c r="B9" i="48"/>
  <c r="C9" i="48"/>
  <c r="D9" i="48"/>
  <c r="C10" i="48"/>
  <c r="C14" i="48" s="1"/>
  <c r="D10" i="48"/>
  <c r="D14" i="48" s="1"/>
  <c r="E10" i="48"/>
  <c r="N10" i="48"/>
  <c r="O10" i="48"/>
  <c r="C11" i="48"/>
  <c r="D11" i="48"/>
  <c r="C12" i="48"/>
  <c r="C16" i="48" s="1"/>
  <c r="D12" i="48"/>
  <c r="C13" i="48"/>
  <c r="C17" i="48" s="1"/>
  <c r="D13" i="48"/>
  <c r="D17" i="48" s="1"/>
  <c r="E14" i="48"/>
  <c r="N14" i="48"/>
  <c r="O14" i="48"/>
  <c r="C18" i="48"/>
  <c r="D18" i="48"/>
  <c r="E18" i="48"/>
  <c r="F18" i="48"/>
  <c r="G18" i="48"/>
  <c r="H18" i="48"/>
  <c r="I18" i="48"/>
  <c r="J18" i="48"/>
  <c r="K18" i="48"/>
  <c r="P18" i="48" s="1"/>
  <c r="L18" i="48"/>
  <c r="M18" i="48"/>
  <c r="D19" i="48"/>
  <c r="O19" i="48"/>
  <c r="D20" i="48"/>
  <c r="O20" i="48"/>
  <c r="D21" i="48"/>
  <c r="D25" i="48" s="1"/>
  <c r="O21" i="48"/>
  <c r="E22" i="48"/>
  <c r="F22" i="48"/>
  <c r="G22" i="48"/>
  <c r="H22" i="48"/>
  <c r="I22" i="48"/>
  <c r="J22" i="48"/>
  <c r="K22" i="48"/>
  <c r="L22" i="48"/>
  <c r="M22" i="48"/>
  <c r="O23" i="48"/>
  <c r="O24" i="48"/>
  <c r="O25" i="48"/>
  <c r="A26" i="48"/>
  <c r="B26" i="48"/>
  <c r="C26" i="48"/>
  <c r="D26" i="48"/>
  <c r="A27" i="48"/>
  <c r="B27" i="48"/>
  <c r="C27" i="48"/>
  <c r="D27" i="48"/>
  <c r="A28" i="48"/>
  <c r="B28" i="48"/>
  <c r="C28" i="48"/>
  <c r="D28" i="48"/>
  <c r="C29" i="48"/>
  <c r="D29" i="48"/>
  <c r="E29" i="48"/>
  <c r="N29" i="48"/>
  <c r="O29" i="48"/>
  <c r="E31" i="48"/>
  <c r="N31" i="48"/>
  <c r="O31" i="48"/>
  <c r="E33" i="48"/>
  <c r="N33" i="48"/>
  <c r="O33" i="48"/>
  <c r="C35" i="48"/>
  <c r="D35" i="48"/>
  <c r="E35" i="48"/>
  <c r="E37" i="48"/>
  <c r="E39" i="48"/>
  <c r="E41" i="48"/>
  <c r="C42" i="48"/>
  <c r="C44" i="48" s="1"/>
  <c r="D42" i="48"/>
  <c r="E43" i="48"/>
  <c r="E45" i="48"/>
  <c r="C47" i="48"/>
  <c r="D47" i="48"/>
  <c r="E47" i="48"/>
  <c r="F47" i="48"/>
  <c r="G47" i="48"/>
  <c r="H47" i="48"/>
  <c r="I47" i="48"/>
  <c r="J47" i="48"/>
  <c r="K47" i="48"/>
  <c r="L47" i="48"/>
  <c r="M47" i="48"/>
  <c r="N47" i="48"/>
  <c r="O47" i="48"/>
  <c r="E49" i="48"/>
  <c r="F49" i="48"/>
  <c r="G49" i="48"/>
  <c r="H49" i="48"/>
  <c r="I49" i="48"/>
  <c r="J49" i="48"/>
  <c r="K49" i="48"/>
  <c r="L49" i="48"/>
  <c r="M49" i="48"/>
  <c r="N49" i="48"/>
  <c r="O49" i="48"/>
  <c r="E51" i="48"/>
  <c r="F51" i="48"/>
  <c r="G51" i="48"/>
  <c r="H51" i="48"/>
  <c r="I51" i="48"/>
  <c r="J51" i="48"/>
  <c r="K51" i="48"/>
  <c r="L51" i="48"/>
  <c r="M51" i="48"/>
  <c r="N51" i="48"/>
  <c r="O51" i="48"/>
  <c r="A53" i="48"/>
  <c r="C53" i="48"/>
  <c r="D53" i="48"/>
  <c r="F53" i="48"/>
  <c r="A54" i="48"/>
  <c r="B54" i="48"/>
  <c r="C54" i="48"/>
  <c r="D54" i="48"/>
  <c r="E54" i="48"/>
  <c r="F54" i="48"/>
  <c r="G54" i="48"/>
  <c r="H54" i="48"/>
  <c r="I54" i="48"/>
  <c r="J54" i="48"/>
  <c r="K54" i="48"/>
  <c r="L54" i="48"/>
  <c r="M54" i="48"/>
  <c r="N54" i="48"/>
  <c r="O54" i="48"/>
  <c r="A55" i="48"/>
  <c r="B55" i="48"/>
  <c r="C55" i="48"/>
  <c r="D55" i="48"/>
  <c r="E55" i="48"/>
  <c r="F55" i="48"/>
  <c r="G55" i="48"/>
  <c r="H55" i="48"/>
  <c r="I55" i="48"/>
  <c r="J55" i="48"/>
  <c r="K55" i="48"/>
  <c r="L55" i="48"/>
  <c r="M55" i="48"/>
  <c r="N55" i="48"/>
  <c r="O55" i="48"/>
  <c r="R31" i="17"/>
  <c r="S31" i="17"/>
  <c r="T31" i="17"/>
  <c r="U31" i="17"/>
  <c r="V31" i="17"/>
  <c r="AD31" i="17"/>
  <c r="AE31" i="17"/>
  <c r="AH31" i="17" s="1"/>
  <c r="AI31" i="17" s="1"/>
  <c r="AF31" i="17"/>
  <c r="AG31" i="17"/>
  <c r="AK31" i="17"/>
  <c r="AL31" i="17"/>
  <c r="R32" i="17"/>
  <c r="S32" i="17"/>
  <c r="T32" i="17"/>
  <c r="U32" i="17"/>
  <c r="V32" i="17"/>
  <c r="AD32" i="17"/>
  <c r="AE32" i="17"/>
  <c r="AF32" i="17"/>
  <c r="AG32" i="17"/>
  <c r="R33" i="17"/>
  <c r="S33" i="17"/>
  <c r="T33" i="17"/>
  <c r="U33" i="17"/>
  <c r="V33" i="17"/>
  <c r="AD33" i="17"/>
  <c r="AE33" i="17"/>
  <c r="AF33" i="17"/>
  <c r="AG33" i="17"/>
  <c r="R34" i="17"/>
  <c r="S34" i="17"/>
  <c r="T34" i="17"/>
  <c r="U34" i="17"/>
  <c r="V34" i="17"/>
  <c r="AD34" i="17"/>
  <c r="AE34" i="17"/>
  <c r="AF34" i="17"/>
  <c r="AG34" i="17"/>
  <c r="R35" i="17"/>
  <c r="R36" i="17" s="1"/>
  <c r="S35" i="17"/>
  <c r="T35" i="17"/>
  <c r="U35" i="17"/>
  <c r="V35" i="17"/>
  <c r="AC35" i="17"/>
  <c r="AC36" i="17" s="1"/>
  <c r="AD35" i="17"/>
  <c r="AE35" i="17"/>
  <c r="AF35" i="17"/>
  <c r="AG35" i="17"/>
  <c r="D36" i="17"/>
  <c r="E36" i="17"/>
  <c r="G36" i="17"/>
  <c r="G38" i="17"/>
  <c r="F48" i="53" s="1"/>
  <c r="R38" i="17"/>
  <c r="F54" i="53" s="1"/>
  <c r="AC38" i="17"/>
  <c r="G39" i="17"/>
  <c r="F20" i="48" s="1"/>
  <c r="R39" i="17"/>
  <c r="AC39" i="17"/>
  <c r="F61" i="53" s="1"/>
  <c r="G40" i="17"/>
  <c r="F21" i="48" s="1"/>
  <c r="R40" i="17"/>
  <c r="F56" i="53" s="1"/>
  <c r="AC40" i="17"/>
  <c r="F62" i="53" s="1"/>
  <c r="E41" i="17"/>
  <c r="E42" i="17"/>
  <c r="E43" i="17"/>
  <c r="L44" i="17"/>
  <c r="W44" i="17"/>
  <c r="AH44" i="17"/>
  <c r="AI44" i="17" s="1"/>
  <c r="L45" i="17"/>
  <c r="M45" i="17" s="1"/>
  <c r="W45" i="17"/>
  <c r="AH45" i="17"/>
  <c r="L46" i="17"/>
  <c r="M46" i="17" s="1"/>
  <c r="W46" i="17"/>
  <c r="X46" i="17" s="1"/>
  <c r="AH46" i="17"/>
  <c r="E51" i="17"/>
  <c r="E52" i="17"/>
  <c r="E53" i="17"/>
  <c r="G65" i="17"/>
  <c r="F30" i="48" s="1"/>
  <c r="R65" i="17"/>
  <c r="F75" i="53" s="1"/>
  <c r="AC65" i="17"/>
  <c r="F77" i="53" s="1"/>
  <c r="G68" i="17"/>
  <c r="R68" i="17"/>
  <c r="F81" i="53" s="1"/>
  <c r="AC68" i="17"/>
  <c r="F83" i="53" s="1"/>
  <c r="U70" i="17"/>
  <c r="AF70" i="17"/>
  <c r="D71" i="17"/>
  <c r="C41" i="48" s="1"/>
  <c r="C45" i="48" s="1"/>
  <c r="E71" i="17"/>
  <c r="D84" i="53" s="1"/>
  <c r="G72" i="17"/>
  <c r="F42" i="48" s="1"/>
  <c r="R72" i="17"/>
  <c r="AC72" i="17"/>
  <c r="F91" i="53" s="1"/>
  <c r="S74" i="17"/>
  <c r="T74" i="17"/>
  <c r="U74" i="17"/>
  <c r="V74" i="17"/>
  <c r="AD74" i="17"/>
  <c r="AE74" i="17"/>
  <c r="AF74" i="17"/>
  <c r="AG74" i="17"/>
  <c r="G76" i="17"/>
  <c r="F48" i="48" s="1"/>
  <c r="R76" i="17"/>
  <c r="AC76" i="17"/>
  <c r="F98" i="53" s="1"/>
  <c r="U78" i="17"/>
  <c r="AF78" i="17"/>
  <c r="B81" i="17"/>
  <c r="L81" i="17"/>
  <c r="M81" i="17" s="1"/>
  <c r="N81" i="17" s="1"/>
  <c r="B82" i="17"/>
  <c r="G82" i="17"/>
  <c r="B83" i="17"/>
  <c r="G83" i="17"/>
  <c r="B84" i="17"/>
  <c r="G84" i="17"/>
  <c r="A5" i="45"/>
  <c r="B5" i="45"/>
  <c r="D6" i="45"/>
  <c r="H6" i="45" s="1"/>
  <c r="D7" i="45"/>
  <c r="D8" i="45"/>
  <c r="H8" i="45" s="1"/>
  <c r="D9" i="45"/>
  <c r="H9" i="45" s="1"/>
  <c r="D10" i="45"/>
  <c r="H10" i="45" s="1"/>
  <c r="D11" i="45"/>
  <c r="J11" i="45" s="1"/>
  <c r="D13" i="45"/>
  <c r="J13" i="45" s="1"/>
  <c r="D14" i="45"/>
  <c r="H14" i="45" s="1"/>
  <c r="D15" i="45"/>
  <c r="H15" i="45" s="1"/>
  <c r="D16" i="45"/>
  <c r="H16" i="45" s="1"/>
  <c r="D17" i="45"/>
  <c r="J17" i="45" s="1"/>
  <c r="D18" i="45"/>
  <c r="J18" i="45" s="1"/>
  <c r="D19" i="45"/>
  <c r="H19" i="45" s="1"/>
  <c r="D20" i="45"/>
  <c r="J20" i="45" s="1"/>
  <c r="D21" i="45"/>
  <c r="H21" i="45" s="1"/>
  <c r="D22" i="45"/>
  <c r="H22" i="45" s="1"/>
  <c r="D23" i="45"/>
  <c r="J23" i="45" s="1"/>
  <c r="H30" i="45"/>
  <c r="I30" i="45"/>
  <c r="J30" i="45"/>
  <c r="A34" i="45"/>
  <c r="B34" i="45"/>
  <c r="D35" i="45"/>
  <c r="L35" i="45" s="1"/>
  <c r="D36" i="45"/>
  <c r="J36" i="45" s="1"/>
  <c r="D37" i="45"/>
  <c r="L37" i="45" s="1"/>
  <c r="D38" i="45"/>
  <c r="L38" i="45" s="1"/>
  <c r="D39" i="45"/>
  <c r="I39" i="45" s="1"/>
  <c r="D40" i="45"/>
  <c r="J40" i="45" s="1"/>
  <c r="D42" i="45"/>
  <c r="K42" i="45" s="1"/>
  <c r="D43" i="45"/>
  <c r="L43" i="45" s="1"/>
  <c r="D44" i="45"/>
  <c r="L44" i="45" s="1"/>
  <c r="D45" i="45"/>
  <c r="I45" i="45" s="1"/>
  <c r="D46" i="45"/>
  <c r="I46" i="45" s="1"/>
  <c r="D47" i="45"/>
  <c r="K47" i="45" s="1"/>
  <c r="D48" i="45"/>
  <c r="L48" i="45" s="1"/>
  <c r="A52" i="45"/>
  <c r="B52" i="45"/>
  <c r="D54" i="45"/>
  <c r="H54" i="45" s="1"/>
  <c r="D55" i="45"/>
  <c r="I55" i="45" s="1"/>
  <c r="D56" i="45"/>
  <c r="J56" i="45" s="1"/>
  <c r="D57" i="45"/>
  <c r="H57" i="45" s="1"/>
  <c r="D58" i="45"/>
  <c r="I58" i="45" s="1"/>
  <c r="D59" i="45"/>
  <c r="D61" i="45"/>
  <c r="H61" i="45" s="1"/>
  <c r="D62" i="45"/>
  <c r="H62" i="45" s="1"/>
  <c r="D63" i="45"/>
  <c r="H63" i="45" s="1"/>
  <c r="D64" i="45"/>
  <c r="H64" i="45" s="1"/>
  <c r="D65" i="45"/>
  <c r="H65" i="45" s="1"/>
  <c r="D66" i="45"/>
  <c r="J66" i="45" s="1"/>
  <c r="D67" i="45"/>
  <c r="H67" i="45" s="1"/>
  <c r="A71" i="45"/>
  <c r="B71" i="45"/>
  <c r="D73" i="45"/>
  <c r="H73" i="45" s="1"/>
  <c r="D74" i="45"/>
  <c r="H74" i="45" s="1"/>
  <c r="D75" i="45"/>
  <c r="I75" i="45" s="1"/>
  <c r="D76" i="45"/>
  <c r="H76" i="45" s="1"/>
  <c r="D77" i="45"/>
  <c r="H77" i="45" s="1"/>
  <c r="D78" i="45"/>
  <c r="I78" i="45" s="1"/>
  <c r="D80" i="45"/>
  <c r="H80" i="45" s="1"/>
  <c r="D81" i="45"/>
  <c r="J81" i="45" s="1"/>
  <c r="D82" i="45"/>
  <c r="H82" i="45" s="1"/>
  <c r="D83" i="45"/>
  <c r="H83" i="45" s="1"/>
  <c r="D84" i="45"/>
  <c r="H84" i="45" s="1"/>
  <c r="D85" i="45"/>
  <c r="I85" i="45" s="1"/>
  <c r="D86" i="45"/>
  <c r="H86" i="45" s="1"/>
  <c r="D87" i="45"/>
  <c r="H87" i="45" s="1"/>
  <c r="D88" i="45"/>
  <c r="I88" i="45" s="1"/>
  <c r="D89" i="45"/>
  <c r="I89" i="45" s="1"/>
  <c r="D90" i="45"/>
  <c r="H90" i="45" s="1"/>
  <c r="A97" i="45"/>
  <c r="B97" i="45"/>
  <c r="D99" i="45"/>
  <c r="H99" i="45" s="1"/>
  <c r="D100" i="45"/>
  <c r="H100" i="45" s="1"/>
  <c r="D101" i="45"/>
  <c r="H101" i="45" s="1"/>
  <c r="D102" i="45"/>
  <c r="H102" i="45" s="1"/>
  <c r="D103" i="45"/>
  <c r="D104" i="45"/>
  <c r="H104" i="45" s="1"/>
  <c r="D106" i="45"/>
  <c r="J106" i="45" s="1"/>
  <c r="D107" i="45"/>
  <c r="H107" i="45" s="1"/>
  <c r="D108" i="45"/>
  <c r="H108" i="45" s="1"/>
  <c r="D109" i="45"/>
  <c r="H109" i="45" s="1"/>
  <c r="D110" i="45"/>
  <c r="H110" i="45" s="1"/>
  <c r="D111" i="45"/>
  <c r="J111" i="45" s="1"/>
  <c r="D113" i="45"/>
  <c r="H113" i="45" s="1"/>
  <c r="A117" i="45"/>
  <c r="B117" i="45"/>
  <c r="D119" i="45"/>
  <c r="H119" i="45" s="1"/>
  <c r="D120" i="45"/>
  <c r="I120" i="45" s="1"/>
  <c r="D121" i="45"/>
  <c r="J121" i="45" s="1"/>
  <c r="D122" i="45"/>
  <c r="H122" i="45" s="1"/>
  <c r="D123" i="45"/>
  <c r="I123" i="45" s="1"/>
  <c r="D124" i="45"/>
  <c r="J124" i="45" s="1"/>
  <c r="D126" i="45"/>
  <c r="J126" i="45" s="1"/>
  <c r="D127" i="45"/>
  <c r="J127" i="45" s="1"/>
  <c r="D128" i="45"/>
  <c r="H128" i="45" s="1"/>
  <c r="D129" i="45"/>
  <c r="H129" i="45" s="1"/>
  <c r="D130" i="45"/>
  <c r="H130" i="45" s="1"/>
  <c r="D131" i="45"/>
  <c r="J131" i="45" s="1"/>
  <c r="D133" i="45"/>
  <c r="H133" i="45" s="1"/>
  <c r="A140" i="45"/>
  <c r="B140" i="45"/>
  <c r="D141" i="45"/>
  <c r="K141" i="45" s="1"/>
  <c r="D142" i="45"/>
  <c r="K142" i="45" s="1"/>
  <c r="D143" i="45"/>
  <c r="I143" i="45" s="1"/>
  <c r="D144" i="45"/>
  <c r="L144" i="45" s="1"/>
  <c r="D145" i="45"/>
  <c r="J145" i="45" s="1"/>
  <c r="D146" i="45"/>
  <c r="J146" i="45" s="1"/>
  <c r="D148" i="45"/>
  <c r="K148" i="45" s="1"/>
  <c r="D149" i="45"/>
  <c r="I149" i="45" s="1"/>
  <c r="D150" i="45"/>
  <c r="L150" i="45" s="1"/>
  <c r="D151" i="45"/>
  <c r="I151" i="45" s="1"/>
  <c r="D152" i="45"/>
  <c r="K152" i="45" s="1"/>
  <c r="D153" i="45"/>
  <c r="K153" i="45" s="1"/>
  <c r="D154" i="45"/>
  <c r="I154" i="45" s="1"/>
  <c r="A160" i="45"/>
  <c r="B160" i="45"/>
  <c r="D162" i="45"/>
  <c r="H162" i="45" s="1"/>
  <c r="D163" i="45"/>
  <c r="H163" i="45" s="1"/>
  <c r="D164" i="45"/>
  <c r="H164" i="45" s="1"/>
  <c r="D165" i="45"/>
  <c r="H165" i="45" s="1"/>
  <c r="D166" i="45"/>
  <c r="H166" i="45" s="1"/>
  <c r="D167" i="45"/>
  <c r="H167" i="45" s="1"/>
  <c r="D169" i="45"/>
  <c r="H169" i="45" s="1"/>
  <c r="D170" i="45"/>
  <c r="H170" i="45" s="1"/>
  <c r="D171" i="45"/>
  <c r="H171" i="45" s="1"/>
  <c r="D172" i="45"/>
  <c r="H172" i="45" s="1"/>
  <c r="D173" i="45"/>
  <c r="H173" i="45" s="1"/>
  <c r="D174" i="45"/>
  <c r="H174" i="45" s="1"/>
  <c r="D175" i="45"/>
  <c r="H175" i="45" s="1"/>
  <c r="A182" i="45"/>
  <c r="B182" i="45"/>
  <c r="D183" i="45"/>
  <c r="J183" i="45" s="1"/>
  <c r="D184" i="45"/>
  <c r="H184" i="45" s="1"/>
  <c r="D185" i="45"/>
  <c r="H185" i="45" s="1"/>
  <c r="D186" i="45"/>
  <c r="I186" i="45" s="1"/>
  <c r="D187" i="45"/>
  <c r="D188" i="45"/>
  <c r="H188" i="45" s="1"/>
  <c r="A4" i="22"/>
  <c r="B4" i="22"/>
  <c r="E6" i="22"/>
  <c r="F6" i="22"/>
  <c r="E7" i="22"/>
  <c r="F7" i="22"/>
  <c r="E8" i="22"/>
  <c r="F8" i="22"/>
  <c r="E9" i="22"/>
  <c r="F9" i="22"/>
  <c r="E10" i="22"/>
  <c r="F10" i="22"/>
  <c r="E11" i="22"/>
  <c r="F11" i="22"/>
  <c r="F12" i="22"/>
  <c r="E14" i="22"/>
  <c r="F14" i="22"/>
  <c r="E15" i="22"/>
  <c r="F15" i="22"/>
  <c r="E16" i="22"/>
  <c r="F16" i="22"/>
  <c r="E17" i="22"/>
  <c r="F17" i="22"/>
  <c r="E18" i="22"/>
  <c r="F18" i="22"/>
  <c r="E19" i="22"/>
  <c r="F19" i="22"/>
  <c r="F20" i="22"/>
  <c r="A37" i="22"/>
  <c r="B37" i="22"/>
  <c r="E39" i="22"/>
  <c r="F39" i="22"/>
  <c r="E40" i="22"/>
  <c r="F40" i="22"/>
  <c r="E41" i="22"/>
  <c r="F41" i="22"/>
  <c r="E42" i="22"/>
  <c r="F42" i="22"/>
  <c r="E43" i="22"/>
  <c r="F43" i="22"/>
  <c r="E44" i="22"/>
  <c r="F44" i="22"/>
  <c r="F45" i="22"/>
  <c r="A50" i="22"/>
  <c r="B50" i="22"/>
  <c r="E60" i="22"/>
  <c r="E52" i="22" s="1"/>
  <c r="F60" i="22"/>
  <c r="F52" i="22" s="1"/>
  <c r="E61" i="22"/>
  <c r="E53" i="22" s="1"/>
  <c r="F61" i="22"/>
  <c r="F53" i="22" s="1"/>
  <c r="E62" i="22"/>
  <c r="E54" i="22" s="1"/>
  <c r="F62" i="22"/>
  <c r="F54" i="22" s="1"/>
  <c r="E63" i="22"/>
  <c r="E55" i="22" s="1"/>
  <c r="F63" i="22"/>
  <c r="F55" i="22" s="1"/>
  <c r="E64" i="22"/>
  <c r="E56" i="22" s="1"/>
  <c r="F64" i="22"/>
  <c r="F56" i="22" s="1"/>
  <c r="E65" i="22"/>
  <c r="E57" i="22" s="1"/>
  <c r="F65" i="22"/>
  <c r="F57" i="22" s="1"/>
  <c r="F66" i="22"/>
  <c r="F58" i="22" s="1"/>
  <c r="A68" i="22"/>
  <c r="B68" i="22"/>
  <c r="E70" i="22"/>
  <c r="F70" i="22"/>
  <c r="E71" i="22"/>
  <c r="F71" i="22"/>
  <c r="E72" i="22"/>
  <c r="F72" i="22"/>
  <c r="E73" i="22"/>
  <c r="F73" i="22"/>
  <c r="E74" i="22"/>
  <c r="F74" i="22"/>
  <c r="E75" i="22"/>
  <c r="F75" i="22"/>
  <c r="F77" i="22"/>
  <c r="E79" i="22"/>
  <c r="F79" i="22"/>
  <c r="E80" i="22"/>
  <c r="F80" i="22"/>
  <c r="E81" i="22"/>
  <c r="F81" i="22"/>
  <c r="E82" i="22"/>
  <c r="F82" i="22"/>
  <c r="E83" i="22"/>
  <c r="F83" i="22"/>
  <c r="F84" i="22"/>
  <c r="A97" i="22"/>
  <c r="B97" i="22"/>
  <c r="E99" i="22"/>
  <c r="F99" i="22"/>
  <c r="E100" i="22"/>
  <c r="F100" i="22"/>
  <c r="E101" i="22"/>
  <c r="F101" i="22"/>
  <c r="E102" i="22"/>
  <c r="F102" i="22"/>
  <c r="E103" i="22"/>
  <c r="F103" i="22"/>
  <c r="E104" i="22"/>
  <c r="F104" i="22"/>
  <c r="F105" i="22"/>
  <c r="A111" i="22"/>
  <c r="B111" i="22"/>
  <c r="E113" i="22"/>
  <c r="F113" i="22"/>
  <c r="E114" i="22"/>
  <c r="F114" i="22"/>
  <c r="E115" i="22"/>
  <c r="F115" i="22"/>
  <c r="E116" i="22"/>
  <c r="F116" i="22"/>
  <c r="E117" i="22"/>
  <c r="F117" i="22"/>
  <c r="E118" i="22"/>
  <c r="F118" i="22"/>
  <c r="F119" i="22"/>
  <c r="A124" i="22"/>
  <c r="B124" i="22"/>
  <c r="E126" i="22"/>
  <c r="F126" i="22"/>
  <c r="E127" i="22"/>
  <c r="F127" i="22"/>
  <c r="E128" i="22"/>
  <c r="F128" i="22"/>
  <c r="E129" i="22"/>
  <c r="F129" i="22"/>
  <c r="E130" i="22"/>
  <c r="F130" i="22"/>
  <c r="E131" i="22"/>
  <c r="F131" i="22"/>
  <c r="F132" i="22"/>
  <c r="A148" i="22"/>
  <c r="B148" i="22"/>
  <c r="E150" i="22"/>
  <c r="F150" i="22"/>
  <c r="E151" i="22"/>
  <c r="F151" i="22"/>
  <c r="E152" i="22"/>
  <c r="F152" i="22"/>
  <c r="E153" i="22"/>
  <c r="F153" i="22"/>
  <c r="E154" i="22"/>
  <c r="F154" i="22"/>
  <c r="E155" i="22"/>
  <c r="F155" i="22"/>
  <c r="F156" i="22"/>
  <c r="A162" i="22"/>
  <c r="B162" i="22"/>
  <c r="E164" i="22"/>
  <c r="F164" i="22"/>
  <c r="E165" i="22"/>
  <c r="F165" i="22"/>
  <c r="E166" i="22"/>
  <c r="F166" i="22"/>
  <c r="E167" i="22"/>
  <c r="F167" i="22"/>
  <c r="F168" i="22"/>
  <c r="A5" i="21"/>
  <c r="B5" i="21"/>
  <c r="F7" i="21"/>
  <c r="F8" i="21"/>
  <c r="L8" i="21" s="1"/>
  <c r="F9" i="21"/>
  <c r="L9" i="21" s="1"/>
  <c r="F13" i="21"/>
  <c r="K13" i="21" s="1"/>
  <c r="F16" i="21"/>
  <c r="A76" i="21"/>
  <c r="B76" i="21"/>
  <c r="E77" i="21"/>
  <c r="F77" i="21" s="1"/>
  <c r="K77" i="21" s="1"/>
  <c r="E78" i="21"/>
  <c r="F78" i="21" s="1"/>
  <c r="K78" i="21" s="1"/>
  <c r="E79" i="21"/>
  <c r="F79" i="21" s="1"/>
  <c r="K79" i="21" s="1"/>
  <c r="E80" i="21"/>
  <c r="F80" i="21" s="1"/>
  <c r="K80" i="21" s="1"/>
  <c r="E81" i="21"/>
  <c r="F81" i="21" s="1"/>
  <c r="K81" i="21" s="1"/>
  <c r="E82" i="21"/>
  <c r="F82" i="21" s="1"/>
  <c r="K82" i="21" s="1"/>
  <c r="E83" i="21"/>
  <c r="F83" i="21" s="1"/>
  <c r="K83" i="21" s="1"/>
  <c r="E84" i="21"/>
  <c r="F84" i="21" s="1"/>
  <c r="K84" i="21" s="1"/>
  <c r="E85" i="21"/>
  <c r="F85" i="21" s="1"/>
  <c r="A92" i="21"/>
  <c r="B92" i="21"/>
  <c r="E93" i="21"/>
  <c r="F93" i="21" s="1"/>
  <c r="E94" i="21"/>
  <c r="F94" i="21" s="1"/>
  <c r="L94" i="21" s="1"/>
  <c r="E95" i="21"/>
  <c r="F95" i="21" s="1"/>
  <c r="J95" i="21" s="1"/>
  <c r="E96" i="21"/>
  <c r="F96" i="21" s="1"/>
  <c r="K96" i="21" s="1"/>
  <c r="E97" i="21"/>
  <c r="F97" i="21" s="1"/>
  <c r="E98" i="21"/>
  <c r="F98" i="21" s="1"/>
  <c r="L98" i="21" s="1"/>
  <c r="E99" i="21"/>
  <c r="F99" i="21" s="1"/>
  <c r="J99" i="21" s="1"/>
  <c r="E100" i="21"/>
  <c r="F100" i="21" s="1"/>
  <c r="J100" i="21" s="1"/>
  <c r="J273" i="52" s="1"/>
  <c r="A108" i="21"/>
  <c r="B108" i="21"/>
  <c r="E109" i="21"/>
  <c r="F109" i="21"/>
  <c r="J109" i="21" s="1"/>
  <c r="E110" i="21"/>
  <c r="F110" i="21" s="1"/>
  <c r="E111" i="21"/>
  <c r="F111" i="21" s="1"/>
  <c r="E112" i="21"/>
  <c r="F112" i="21" s="1"/>
  <c r="K112" i="21" s="1"/>
  <c r="E113" i="21"/>
  <c r="F113" i="21" s="1"/>
  <c r="J113" i="21" s="1"/>
  <c r="E114" i="21"/>
  <c r="F114" i="21" s="1"/>
  <c r="K114" i="21" s="1"/>
  <c r="E115" i="21"/>
  <c r="F115" i="21" s="1"/>
  <c r="E116" i="21"/>
  <c r="F116" i="21" s="1"/>
  <c r="K116" i="21" s="1"/>
  <c r="E117" i="21"/>
  <c r="F117" i="21" s="1"/>
  <c r="E118" i="21"/>
  <c r="F118" i="21" s="1"/>
  <c r="K118" i="21" s="1"/>
  <c r="E119" i="21"/>
  <c r="F119" i="21" s="1"/>
  <c r="A132" i="21"/>
  <c r="B132" i="21"/>
  <c r="E134" i="21"/>
  <c r="F134" i="21" s="1"/>
  <c r="K134" i="21" s="1"/>
  <c r="E135" i="21"/>
  <c r="F135" i="21" s="1"/>
  <c r="K135" i="21" s="1"/>
  <c r="E136" i="21"/>
  <c r="F136" i="21" s="1"/>
  <c r="L136" i="21" s="1"/>
  <c r="E138" i="21"/>
  <c r="F138" i="21" s="1"/>
  <c r="J138" i="21" s="1"/>
  <c r="E139" i="21"/>
  <c r="F139" i="21" s="1"/>
  <c r="K139" i="21" s="1"/>
  <c r="E140" i="21"/>
  <c r="F140" i="21" s="1"/>
  <c r="K140" i="21" s="1"/>
  <c r="E141" i="21"/>
  <c r="F141" i="21" s="1"/>
  <c r="E142" i="21"/>
  <c r="F142" i="21" s="1"/>
  <c r="E145" i="21"/>
  <c r="F145" i="21" s="1"/>
  <c r="E146" i="21"/>
  <c r="F146" i="21" s="1"/>
  <c r="J146" i="21" s="1"/>
  <c r="E147" i="21"/>
  <c r="F147" i="21" s="1"/>
  <c r="E148" i="21"/>
  <c r="F148" i="21" s="1"/>
  <c r="J148" i="21" s="1"/>
  <c r="A163" i="21"/>
  <c r="B163" i="21"/>
  <c r="C163" i="21"/>
  <c r="D163" i="21"/>
  <c r="E164" i="21"/>
  <c r="F164" i="21" s="1"/>
  <c r="J164" i="21" s="1"/>
  <c r="E165" i="21"/>
  <c r="F165" i="21" s="1"/>
  <c r="E166" i="21"/>
  <c r="F166" i="21" s="1"/>
  <c r="E167" i="21"/>
  <c r="F167" i="21" s="1"/>
  <c r="E168" i="21"/>
  <c r="F168" i="21" s="1"/>
  <c r="L168" i="21" s="1"/>
  <c r="E169" i="21"/>
  <c r="F169" i="21" s="1"/>
  <c r="J169" i="21" s="1"/>
  <c r="E170" i="21"/>
  <c r="F170" i="21" s="1"/>
  <c r="E171" i="21"/>
  <c r="F171" i="21" s="1"/>
  <c r="E172" i="21"/>
  <c r="F172" i="21" s="1"/>
  <c r="E173" i="21"/>
  <c r="F173" i="21" s="1"/>
  <c r="E174" i="21"/>
  <c r="F174" i="21" s="1"/>
  <c r="K174" i="21" s="1"/>
  <c r="A181" i="21"/>
  <c r="B181" i="21"/>
  <c r="C181" i="21"/>
  <c r="D181" i="21"/>
  <c r="E182" i="21"/>
  <c r="F182" i="21" s="1"/>
  <c r="E183" i="21"/>
  <c r="F183" i="21" s="1"/>
  <c r="J183" i="21" s="1"/>
  <c r="E184" i="21"/>
  <c r="F184" i="21" s="1"/>
  <c r="K184" i="21" s="1"/>
  <c r="E185" i="21"/>
  <c r="F185" i="21" s="1"/>
  <c r="E186" i="21"/>
  <c r="F186" i="21" s="1"/>
  <c r="E187" i="21"/>
  <c r="F187" i="21" s="1"/>
  <c r="E188" i="21"/>
  <c r="F188" i="21" s="1"/>
  <c r="J188" i="21" s="1"/>
  <c r="E189" i="21"/>
  <c r="F189" i="21" s="1"/>
  <c r="E190" i="21"/>
  <c r="F190" i="21" s="1"/>
  <c r="J190" i="21" s="1"/>
  <c r="E191" i="21"/>
  <c r="F191" i="21" s="1"/>
  <c r="E192" i="21"/>
  <c r="F192" i="21" s="1"/>
  <c r="A200" i="21"/>
  <c r="B200" i="21"/>
  <c r="E201" i="21"/>
  <c r="F201" i="21" s="1"/>
  <c r="E202" i="21"/>
  <c r="F202" i="21" s="1"/>
  <c r="K202" i="21" s="1"/>
  <c r="E203" i="21"/>
  <c r="F203" i="21" s="1"/>
  <c r="E204" i="21"/>
  <c r="F204" i="21" s="1"/>
  <c r="E205" i="21"/>
  <c r="F205" i="21" s="1"/>
  <c r="K205" i="21" s="1"/>
  <c r="E206" i="21"/>
  <c r="F206" i="21" s="1"/>
  <c r="E207" i="21"/>
  <c r="F207" i="21" s="1"/>
  <c r="E208" i="21"/>
  <c r="F208" i="21" s="1"/>
  <c r="L208" i="21" s="1"/>
  <c r="E209" i="21"/>
  <c r="F209" i="21" s="1"/>
  <c r="E210" i="21"/>
  <c r="F210" i="21" s="1"/>
  <c r="N210" i="21" s="1"/>
  <c r="A220" i="21"/>
  <c r="B220" i="21"/>
  <c r="C220" i="21"/>
  <c r="D220" i="21"/>
  <c r="E221" i="21"/>
  <c r="F221" i="21" s="1"/>
  <c r="J221" i="21" s="1"/>
  <c r="E222" i="21"/>
  <c r="F222" i="21" s="1"/>
  <c r="K222" i="21" s="1"/>
  <c r="E223" i="21"/>
  <c r="F223" i="21" s="1"/>
  <c r="L223" i="21" s="1"/>
  <c r="E224" i="21"/>
  <c r="F224" i="21" s="1"/>
  <c r="E225" i="21"/>
  <c r="F225" i="21" s="1"/>
  <c r="K225" i="21" s="1"/>
  <c r="E226" i="21"/>
  <c r="F226" i="21" s="1"/>
  <c r="K226" i="21" s="1"/>
  <c r="E227" i="21"/>
  <c r="F227" i="21" s="1"/>
  <c r="E228" i="21"/>
  <c r="F228" i="21" s="1"/>
  <c r="A238" i="21"/>
  <c r="B238" i="21"/>
  <c r="F240" i="21"/>
  <c r="J240" i="21" s="1"/>
  <c r="F241" i="21"/>
  <c r="L241" i="21" s="1"/>
  <c r="F242" i="21"/>
  <c r="K242" i="21" s="1"/>
  <c r="F246" i="21"/>
  <c r="J246" i="21" s="1"/>
  <c r="A5" i="40"/>
  <c r="A5" i="52" s="1"/>
  <c r="B5" i="40"/>
  <c r="A6" i="40"/>
  <c r="B6" i="40"/>
  <c r="H6" i="40"/>
  <c r="K7" i="40"/>
  <c r="K9" i="40"/>
  <c r="K11" i="40"/>
  <c r="A12" i="40"/>
  <c r="B12" i="40"/>
  <c r="C12" i="40"/>
  <c r="D12" i="40"/>
  <c r="F12" i="40"/>
  <c r="G12" i="40"/>
  <c r="H12" i="40"/>
  <c r="A14" i="40"/>
  <c r="B14" i="40"/>
  <c r="C14" i="40"/>
  <c r="E14" i="40"/>
  <c r="G14" i="40"/>
  <c r="A15" i="40"/>
  <c r="B15" i="40"/>
  <c r="C15" i="40"/>
  <c r="E15" i="40"/>
  <c r="F15" i="40"/>
  <c r="G15" i="40"/>
  <c r="A16" i="40"/>
  <c r="B16" i="40"/>
  <c r="C16" i="40"/>
  <c r="E16" i="40"/>
  <c r="F16" i="40"/>
  <c r="G16" i="40"/>
  <c r="A17" i="40"/>
  <c r="B17" i="40"/>
  <c r="C17" i="40"/>
  <c r="E17" i="40"/>
  <c r="F17" i="40"/>
  <c r="G17" i="40"/>
  <c r="A18" i="40"/>
  <c r="B18" i="40"/>
  <c r="C18" i="40"/>
  <c r="E18" i="40"/>
  <c r="F18" i="40"/>
  <c r="G18" i="40"/>
  <c r="A19" i="40"/>
  <c r="B19" i="40"/>
  <c r="C19" i="40"/>
  <c r="E19" i="40"/>
  <c r="F19" i="40"/>
  <c r="G19" i="40"/>
  <c r="A20" i="40"/>
  <c r="B20" i="40"/>
  <c r="C20" i="40"/>
  <c r="E20" i="40"/>
  <c r="F20" i="40"/>
  <c r="G20" i="40"/>
  <c r="A21" i="40"/>
  <c r="B21" i="40"/>
  <c r="C21" i="40"/>
  <c r="E21" i="40"/>
  <c r="F21" i="40"/>
  <c r="G21" i="40"/>
  <c r="A22" i="40"/>
  <c r="B22" i="40"/>
  <c r="C22" i="40"/>
  <c r="E22" i="40"/>
  <c r="F22" i="40"/>
  <c r="G22" i="40"/>
  <c r="A23" i="40"/>
  <c r="B23" i="40"/>
  <c r="C23" i="40"/>
  <c r="E23" i="40"/>
  <c r="F23" i="40"/>
  <c r="G23" i="40"/>
  <c r="A24" i="40"/>
  <c r="B24" i="40"/>
  <c r="C24" i="40"/>
  <c r="E24" i="40"/>
  <c r="F24" i="40"/>
  <c r="G24" i="40"/>
  <c r="I24" i="40" s="1"/>
  <c r="H24" i="40"/>
  <c r="A25" i="40"/>
  <c r="B25" i="40"/>
  <c r="C25" i="40"/>
  <c r="E25" i="40"/>
  <c r="F25" i="40"/>
  <c r="G25" i="40"/>
  <c r="A26" i="40"/>
  <c r="B26" i="40"/>
  <c r="C26" i="40"/>
  <c r="E26" i="40"/>
  <c r="F26" i="40"/>
  <c r="G26" i="40"/>
  <c r="A27" i="40"/>
  <c r="B27" i="40"/>
  <c r="C27" i="40"/>
  <c r="E27" i="40"/>
  <c r="F27" i="40"/>
  <c r="G27" i="40"/>
  <c r="A28" i="40"/>
  <c r="B28" i="40"/>
  <c r="C28" i="40"/>
  <c r="E28" i="40"/>
  <c r="F28" i="40"/>
  <c r="G28" i="40"/>
  <c r="H28" i="40"/>
  <c r="A29" i="40"/>
  <c r="B29" i="40"/>
  <c r="C29" i="40"/>
  <c r="E29" i="40"/>
  <c r="F29" i="40"/>
  <c r="G29" i="40"/>
  <c r="A30" i="40"/>
  <c r="B30" i="40"/>
  <c r="C30" i="40"/>
  <c r="E30" i="40"/>
  <c r="F30" i="40"/>
  <c r="G30" i="40"/>
  <c r="A31" i="40"/>
  <c r="C31" i="40"/>
  <c r="E31" i="40"/>
  <c r="F31" i="40"/>
  <c r="G31" i="40"/>
  <c r="C32" i="40"/>
  <c r="E32" i="40"/>
  <c r="F32" i="40"/>
  <c r="G32" i="40"/>
  <c r="C33" i="40"/>
  <c r="E33" i="40"/>
  <c r="F33" i="40"/>
  <c r="G33" i="40"/>
  <c r="C34" i="40"/>
  <c r="E34" i="40"/>
  <c r="F34" i="40"/>
  <c r="G34" i="40"/>
  <c r="C35" i="40"/>
  <c r="E35" i="40"/>
  <c r="F35" i="40"/>
  <c r="G35" i="40"/>
  <c r="C36" i="40"/>
  <c r="E36" i="40"/>
  <c r="F36" i="40"/>
  <c r="G36" i="40"/>
  <c r="A37" i="40"/>
  <c r="B37" i="40"/>
  <c r="C37" i="40"/>
  <c r="E37" i="40"/>
  <c r="F37" i="40"/>
  <c r="G37" i="40"/>
  <c r="C38" i="40"/>
  <c r="E38" i="40"/>
  <c r="F38" i="40"/>
  <c r="G38" i="40"/>
  <c r="C39" i="40"/>
  <c r="E39" i="40"/>
  <c r="F39" i="40"/>
  <c r="G39" i="40"/>
  <c r="C40" i="40"/>
  <c r="E40" i="40"/>
  <c r="F40" i="40"/>
  <c r="G40" i="40"/>
  <c r="C41" i="40"/>
  <c r="E41" i="40"/>
  <c r="F41" i="40"/>
  <c r="G41" i="40"/>
  <c r="C42" i="40"/>
  <c r="E42" i="40"/>
  <c r="F42" i="40"/>
  <c r="G42" i="40"/>
  <c r="A43" i="40"/>
  <c r="B43" i="40"/>
  <c r="C43" i="40"/>
  <c r="E43" i="40"/>
  <c r="F43" i="40"/>
  <c r="G43" i="40"/>
  <c r="A44" i="40"/>
  <c r="B44" i="40"/>
  <c r="C44" i="40"/>
  <c r="E44" i="40"/>
  <c r="F44" i="40"/>
  <c r="G44" i="40"/>
  <c r="A45" i="40"/>
  <c r="B45" i="40"/>
  <c r="C45" i="40"/>
  <c r="E45" i="40"/>
  <c r="F45" i="40"/>
  <c r="G45" i="40"/>
  <c r="A46" i="40"/>
  <c r="B46" i="40"/>
  <c r="C46" i="40"/>
  <c r="E46" i="40"/>
  <c r="F46" i="40"/>
  <c r="G46" i="40"/>
  <c r="A47" i="40"/>
  <c r="B47" i="40"/>
  <c r="C47" i="40"/>
  <c r="E47" i="40"/>
  <c r="F47" i="40"/>
  <c r="G47" i="40"/>
  <c r="A48" i="40"/>
  <c r="B13" i="17" s="1"/>
  <c r="B48" i="40"/>
  <c r="C13" i="17" s="1"/>
  <c r="C48" i="40"/>
  <c r="E48" i="40"/>
  <c r="F48" i="40"/>
  <c r="G48" i="40"/>
  <c r="A49" i="40"/>
  <c r="B14" i="17" s="1"/>
  <c r="B49" i="40"/>
  <c r="C14" i="17" s="1"/>
  <c r="C49" i="40"/>
  <c r="D14" i="17"/>
  <c r="E49" i="40"/>
  <c r="F49" i="40"/>
  <c r="G49" i="40"/>
  <c r="H49" i="40"/>
  <c r="A50" i="40"/>
  <c r="B15" i="17"/>
  <c r="B50" i="40"/>
  <c r="C15" i="17" s="1"/>
  <c r="C50" i="40"/>
  <c r="D15" i="17" s="1"/>
  <c r="E50" i="40"/>
  <c r="F50" i="40"/>
  <c r="G50" i="40"/>
  <c r="A51" i="40"/>
  <c r="B51" i="40"/>
  <c r="C51" i="40"/>
  <c r="E51" i="40"/>
  <c r="F51" i="40"/>
  <c r="G51" i="40"/>
  <c r="A52" i="40"/>
  <c r="B52" i="40"/>
  <c r="C52" i="40"/>
  <c r="E52" i="40"/>
  <c r="F52" i="40"/>
  <c r="G52" i="40"/>
  <c r="A53" i="40"/>
  <c r="B53" i="40"/>
  <c r="C53" i="40"/>
  <c r="E53" i="40"/>
  <c r="F53" i="40"/>
  <c r="G53" i="40"/>
  <c r="A54" i="40"/>
  <c r="B54" i="40"/>
  <c r="C54" i="40"/>
  <c r="E54" i="40"/>
  <c r="F54" i="40"/>
  <c r="G54" i="40"/>
  <c r="A55" i="40"/>
  <c r="A12" i="52" s="1"/>
  <c r="B55" i="40"/>
  <c r="B12" i="52" s="1"/>
  <c r="C55" i="40"/>
  <c r="C12" i="52" s="1"/>
  <c r="E55" i="40"/>
  <c r="F55" i="40"/>
  <c r="G55" i="40"/>
  <c r="A56" i="40"/>
  <c r="A13" i="52" s="1"/>
  <c r="B56" i="40"/>
  <c r="B13" i="52" s="1"/>
  <c r="C56" i="40"/>
  <c r="C13" i="52" s="1"/>
  <c r="E56" i="40"/>
  <c r="F56" i="40"/>
  <c r="G56" i="40"/>
  <c r="A57" i="40"/>
  <c r="A14" i="52" s="1"/>
  <c r="B57" i="40"/>
  <c r="B14" i="52" s="1"/>
  <c r="C57" i="40"/>
  <c r="C14" i="52" s="1"/>
  <c r="E57" i="40"/>
  <c r="F57" i="40"/>
  <c r="G57" i="40"/>
  <c r="A58" i="40"/>
  <c r="B58" i="40"/>
  <c r="C58" i="40"/>
  <c r="E58" i="40"/>
  <c r="F58" i="40"/>
  <c r="G58" i="40"/>
  <c r="A59" i="40"/>
  <c r="B59" i="40"/>
  <c r="C59" i="40"/>
  <c r="E59" i="40"/>
  <c r="F59" i="40"/>
  <c r="G59" i="40"/>
  <c r="H59" i="40"/>
  <c r="A60" i="40"/>
  <c r="B60" i="40"/>
  <c r="C60" i="40"/>
  <c r="E60" i="40"/>
  <c r="F60" i="40"/>
  <c r="G60" i="40"/>
  <c r="A61" i="40"/>
  <c r="B61" i="40"/>
  <c r="C61" i="40"/>
  <c r="E61" i="40"/>
  <c r="F61" i="40"/>
  <c r="G61" i="40"/>
  <c r="A62" i="40"/>
  <c r="B62" i="40"/>
  <c r="C62" i="40"/>
  <c r="E62" i="40"/>
  <c r="F62" i="40"/>
  <c r="G62" i="40"/>
  <c r="A63" i="40"/>
  <c r="B16" i="17" s="1"/>
  <c r="B63" i="40"/>
  <c r="C16" i="17" s="1"/>
  <c r="C63" i="40"/>
  <c r="D16" i="17" s="1"/>
  <c r="E63" i="40"/>
  <c r="F63" i="40"/>
  <c r="G63" i="40"/>
  <c r="A64" i="40"/>
  <c r="B64" i="40"/>
  <c r="C64" i="40"/>
  <c r="E64" i="40"/>
  <c r="F64" i="40"/>
  <c r="G64" i="40"/>
  <c r="A65" i="40"/>
  <c r="B65" i="40"/>
  <c r="C65" i="40"/>
  <c r="E65" i="40"/>
  <c r="F65" i="40"/>
  <c r="G65" i="40"/>
  <c r="A66" i="40"/>
  <c r="A15" i="52" s="1"/>
  <c r="B66" i="40"/>
  <c r="B15" i="52"/>
  <c r="C66" i="40"/>
  <c r="C15" i="52" s="1"/>
  <c r="E66" i="40"/>
  <c r="F66" i="40"/>
  <c r="G66" i="40"/>
  <c r="A67" i="40"/>
  <c r="B67" i="40"/>
  <c r="C67" i="40"/>
  <c r="E67" i="40"/>
  <c r="F67" i="40"/>
  <c r="G67" i="40"/>
  <c r="A68" i="40"/>
  <c r="B68" i="40"/>
  <c r="C68" i="40"/>
  <c r="E68" i="40"/>
  <c r="F68" i="40"/>
  <c r="G68" i="40"/>
  <c r="A69" i="40"/>
  <c r="B69" i="40"/>
  <c r="C69" i="40"/>
  <c r="E69" i="40"/>
  <c r="F69" i="40"/>
  <c r="G69" i="40"/>
  <c r="A70" i="40"/>
  <c r="B70" i="40"/>
  <c r="C70" i="40"/>
  <c r="E70" i="40"/>
  <c r="F70" i="40"/>
  <c r="G70" i="40"/>
  <c r="A71" i="40"/>
  <c r="B71" i="40"/>
  <c r="C71" i="40"/>
  <c r="E71" i="40"/>
  <c r="F71" i="40"/>
  <c r="G71" i="40"/>
  <c r="A72" i="40"/>
  <c r="B17" i="17"/>
  <c r="B72" i="40"/>
  <c r="C17" i="17" s="1"/>
  <c r="C72" i="40"/>
  <c r="D17" i="17" s="1"/>
  <c r="E72" i="40"/>
  <c r="F72" i="40"/>
  <c r="G72" i="40"/>
  <c r="A73" i="40"/>
  <c r="B18" i="17" s="1"/>
  <c r="B73" i="40"/>
  <c r="C18" i="17"/>
  <c r="C73" i="40"/>
  <c r="D18" i="17" s="1"/>
  <c r="E73" i="40"/>
  <c r="F73" i="40"/>
  <c r="G73" i="40"/>
  <c r="A74" i="40"/>
  <c r="B19" i="17" s="1"/>
  <c r="B74" i="40"/>
  <c r="C19" i="17" s="1"/>
  <c r="C74" i="40"/>
  <c r="D19" i="17" s="1"/>
  <c r="E74" i="40"/>
  <c r="F74" i="40"/>
  <c r="G74" i="40"/>
  <c r="A75" i="40"/>
  <c r="B75" i="40"/>
  <c r="C75" i="40"/>
  <c r="E75" i="40"/>
  <c r="F75" i="40"/>
  <c r="G75" i="40"/>
  <c r="A76" i="40"/>
  <c r="B76" i="40"/>
  <c r="C76" i="40"/>
  <c r="E76" i="40"/>
  <c r="F76" i="40"/>
  <c r="G76" i="40"/>
  <c r="A77" i="40"/>
  <c r="B77" i="40"/>
  <c r="B18" i="52" s="1"/>
  <c r="C77" i="40"/>
  <c r="D22" i="17" s="1"/>
  <c r="E77" i="40"/>
  <c r="F77" i="40"/>
  <c r="A78" i="40"/>
  <c r="B78" i="40"/>
  <c r="D78" i="40"/>
  <c r="E78" i="40"/>
  <c r="F78" i="40"/>
  <c r="H78" i="40"/>
  <c r="A79" i="40"/>
  <c r="B79" i="40"/>
  <c r="C79" i="40"/>
  <c r="E79" i="40"/>
  <c r="F79" i="40"/>
  <c r="A80" i="40"/>
  <c r="B80" i="40"/>
  <c r="C80" i="40"/>
  <c r="E80" i="40"/>
  <c r="F80" i="40"/>
  <c r="A81" i="40"/>
  <c r="B81" i="40"/>
  <c r="C81" i="40"/>
  <c r="E81" i="40"/>
  <c r="F81" i="40"/>
  <c r="G81" i="40"/>
  <c r="A82" i="40"/>
  <c r="B82" i="40"/>
  <c r="C82" i="40"/>
  <c r="E82" i="40"/>
  <c r="F82" i="40"/>
  <c r="G82" i="40"/>
  <c r="A83" i="40"/>
  <c r="B83" i="40"/>
  <c r="C83" i="40"/>
  <c r="E83" i="40"/>
  <c r="F83" i="40"/>
  <c r="G83" i="40"/>
  <c r="A84" i="40"/>
  <c r="B84" i="40"/>
  <c r="C84" i="40"/>
  <c r="E84" i="40"/>
  <c r="F84" i="40"/>
  <c r="A85" i="40"/>
  <c r="C85" i="40"/>
  <c r="E85" i="40"/>
  <c r="F85" i="40"/>
  <c r="A86" i="40"/>
  <c r="B86" i="40"/>
  <c r="C86" i="40"/>
  <c r="D86" i="40"/>
  <c r="E86" i="40"/>
  <c r="F86" i="40"/>
  <c r="G86" i="40"/>
  <c r="H86" i="40"/>
  <c r="A87" i="40"/>
  <c r="A24" i="52"/>
  <c r="A88" i="40"/>
  <c r="A27" i="52" s="1"/>
  <c r="A89" i="40"/>
  <c r="A30" i="52" s="1"/>
  <c r="A91" i="40"/>
  <c r="A92" i="40"/>
  <c r="A42" i="52" s="1"/>
  <c r="A97" i="40"/>
  <c r="B97" i="40"/>
  <c r="A98" i="40"/>
  <c r="B98" i="40"/>
  <c r="B98" i="52" s="1"/>
  <c r="B114" i="52" s="1"/>
  <c r="Q99" i="40"/>
  <c r="R99" i="40"/>
  <c r="S99" i="40"/>
  <c r="Q101" i="40"/>
  <c r="R101" i="40"/>
  <c r="S101" i="40"/>
  <c r="Q103" i="40"/>
  <c r="R103" i="40"/>
  <c r="S103" i="40"/>
  <c r="A104" i="40"/>
  <c r="B104" i="40"/>
  <c r="C104" i="40"/>
  <c r="E104" i="40"/>
  <c r="F104" i="40"/>
  <c r="G104" i="40"/>
  <c r="H104" i="40"/>
  <c r="J104" i="40"/>
  <c r="A105" i="40"/>
  <c r="B105" i="40"/>
  <c r="C105" i="40"/>
  <c r="E105" i="40"/>
  <c r="F105" i="40"/>
  <c r="G105" i="40"/>
  <c r="H105" i="40"/>
  <c r="I105" i="40"/>
  <c r="A106" i="40"/>
  <c r="B106" i="40"/>
  <c r="C106" i="40"/>
  <c r="E106" i="40"/>
  <c r="F106" i="40"/>
  <c r="G106" i="40"/>
  <c r="H106" i="40"/>
  <c r="I106" i="40"/>
  <c r="A107" i="40"/>
  <c r="B107" i="40"/>
  <c r="C107" i="40"/>
  <c r="E107" i="40"/>
  <c r="F107" i="40"/>
  <c r="G107" i="40"/>
  <c r="H107" i="40"/>
  <c r="I107" i="40"/>
  <c r="A108" i="40"/>
  <c r="B108" i="40"/>
  <c r="C108" i="40"/>
  <c r="E108" i="40"/>
  <c r="F108" i="40"/>
  <c r="G108" i="40"/>
  <c r="I108" i="40"/>
  <c r="A109" i="40"/>
  <c r="B109" i="40"/>
  <c r="C109" i="40"/>
  <c r="E109" i="40"/>
  <c r="F109" i="40"/>
  <c r="G109" i="40"/>
  <c r="H109" i="40"/>
  <c r="I109" i="40"/>
  <c r="A110" i="40"/>
  <c r="B110" i="40"/>
  <c r="C110" i="40"/>
  <c r="E110" i="40"/>
  <c r="F110" i="40"/>
  <c r="G110" i="40"/>
  <c r="H110" i="40"/>
  <c r="I110" i="40"/>
  <c r="A111" i="40"/>
  <c r="B111" i="40"/>
  <c r="C111" i="40"/>
  <c r="E111" i="40"/>
  <c r="F111" i="40"/>
  <c r="G111" i="40"/>
  <c r="H111" i="40"/>
  <c r="I111" i="40"/>
  <c r="A112" i="40"/>
  <c r="B112" i="40"/>
  <c r="C112" i="40"/>
  <c r="E112" i="40"/>
  <c r="F112" i="40"/>
  <c r="G112" i="40"/>
  <c r="H112" i="40"/>
  <c r="I112" i="40"/>
  <c r="A113" i="40"/>
  <c r="B113" i="40"/>
  <c r="C113" i="40"/>
  <c r="E113" i="40"/>
  <c r="F113" i="40"/>
  <c r="G113" i="40"/>
  <c r="H113" i="40"/>
  <c r="I113" i="40"/>
  <c r="A114" i="40"/>
  <c r="B114" i="40"/>
  <c r="C114" i="40"/>
  <c r="E114" i="40"/>
  <c r="F114" i="40"/>
  <c r="G114" i="40"/>
  <c r="H114" i="40"/>
  <c r="I114" i="40"/>
  <c r="A115" i="40"/>
  <c r="B115" i="40"/>
  <c r="C115" i="40"/>
  <c r="E115" i="40"/>
  <c r="F115" i="40"/>
  <c r="G115" i="40"/>
  <c r="H115" i="40"/>
  <c r="I115" i="40"/>
  <c r="A116" i="40"/>
  <c r="B116" i="40"/>
  <c r="C116" i="40"/>
  <c r="E116" i="40"/>
  <c r="F116" i="40"/>
  <c r="G116" i="40"/>
  <c r="H116" i="40"/>
  <c r="I116" i="40"/>
  <c r="C117" i="40"/>
  <c r="E117" i="40"/>
  <c r="F117" i="40"/>
  <c r="G117" i="40"/>
  <c r="H117" i="40"/>
  <c r="I117" i="40"/>
  <c r="C118" i="40"/>
  <c r="E118" i="40"/>
  <c r="F118" i="40"/>
  <c r="G118" i="40"/>
  <c r="H118" i="40"/>
  <c r="I118" i="40"/>
  <c r="C119" i="40"/>
  <c r="E119" i="40"/>
  <c r="F119" i="40"/>
  <c r="G119" i="40"/>
  <c r="H119" i="40"/>
  <c r="I119" i="40"/>
  <c r="C120" i="40"/>
  <c r="E120" i="40"/>
  <c r="F120" i="40"/>
  <c r="G120" i="40"/>
  <c r="H120" i="40"/>
  <c r="I120" i="40"/>
  <c r="C121" i="40"/>
  <c r="E121" i="40"/>
  <c r="F121" i="40"/>
  <c r="G121" i="40"/>
  <c r="H121" i="40"/>
  <c r="I121" i="40"/>
  <c r="A122" i="40"/>
  <c r="B122" i="40"/>
  <c r="C122" i="40"/>
  <c r="E122" i="40"/>
  <c r="F122" i="40"/>
  <c r="G122" i="40"/>
  <c r="H122" i="40"/>
  <c r="I122" i="40"/>
  <c r="C123" i="40"/>
  <c r="E123" i="40"/>
  <c r="F123" i="40"/>
  <c r="G123" i="40"/>
  <c r="H123" i="40"/>
  <c r="I123" i="40"/>
  <c r="C124" i="40"/>
  <c r="E124" i="40"/>
  <c r="F124" i="40"/>
  <c r="G124" i="40"/>
  <c r="H124" i="40"/>
  <c r="I124" i="40"/>
  <c r="C125" i="40"/>
  <c r="E125" i="40"/>
  <c r="F125" i="40"/>
  <c r="G125" i="40"/>
  <c r="H125" i="40"/>
  <c r="I125" i="40"/>
  <c r="C126" i="40"/>
  <c r="E126" i="40"/>
  <c r="F126" i="40"/>
  <c r="G126" i="40"/>
  <c r="H126" i="40"/>
  <c r="I126" i="40"/>
  <c r="C127" i="40"/>
  <c r="E127" i="40"/>
  <c r="F127" i="40"/>
  <c r="G127" i="40"/>
  <c r="H127" i="40"/>
  <c r="I127" i="40"/>
  <c r="A128" i="40"/>
  <c r="B128" i="40"/>
  <c r="C128" i="40"/>
  <c r="E128" i="40"/>
  <c r="F128" i="40"/>
  <c r="G128" i="40"/>
  <c r="H128" i="40"/>
  <c r="I128" i="40"/>
  <c r="A129" i="40"/>
  <c r="B129" i="40"/>
  <c r="C129" i="40"/>
  <c r="E129" i="40"/>
  <c r="F129" i="40"/>
  <c r="G129" i="40"/>
  <c r="H129" i="40"/>
  <c r="I129" i="40"/>
  <c r="A130" i="40"/>
  <c r="B130" i="40"/>
  <c r="C130" i="40"/>
  <c r="D130" i="40"/>
  <c r="Q130" i="40" s="1"/>
  <c r="E130" i="40"/>
  <c r="F130" i="40"/>
  <c r="G130" i="40"/>
  <c r="H130" i="40"/>
  <c r="I130" i="40"/>
  <c r="J130" i="40"/>
  <c r="L130" i="40" s="1"/>
  <c r="A131" i="40"/>
  <c r="B131" i="40"/>
  <c r="C131" i="40"/>
  <c r="E131" i="40"/>
  <c r="F131" i="40"/>
  <c r="G131" i="40"/>
  <c r="H131" i="40"/>
  <c r="I131" i="40"/>
  <c r="A132" i="40"/>
  <c r="B132" i="40"/>
  <c r="C132" i="40"/>
  <c r="E132" i="40"/>
  <c r="F132" i="40"/>
  <c r="G132" i="40"/>
  <c r="H132" i="40"/>
  <c r="I132" i="40"/>
  <c r="A133" i="40"/>
  <c r="B133" i="40"/>
  <c r="C133" i="40"/>
  <c r="E133" i="40"/>
  <c r="F133" i="40"/>
  <c r="G133" i="40"/>
  <c r="H133" i="40"/>
  <c r="I133" i="40"/>
  <c r="A134" i="40"/>
  <c r="B134" i="40"/>
  <c r="C134" i="40"/>
  <c r="E134" i="40"/>
  <c r="F134" i="40"/>
  <c r="G134" i="40"/>
  <c r="H134" i="40"/>
  <c r="I134" i="40"/>
  <c r="A135" i="40"/>
  <c r="B135" i="40"/>
  <c r="C135" i="40"/>
  <c r="E135" i="40"/>
  <c r="F135" i="40"/>
  <c r="G135" i="40"/>
  <c r="H135" i="40"/>
  <c r="I135" i="40"/>
  <c r="A136" i="40"/>
  <c r="B136" i="40"/>
  <c r="C136" i="40"/>
  <c r="E136" i="40"/>
  <c r="F136" i="40"/>
  <c r="G136" i="40"/>
  <c r="H136" i="40"/>
  <c r="I136" i="40"/>
  <c r="A137" i="40"/>
  <c r="B137" i="40"/>
  <c r="C137" i="40"/>
  <c r="E137" i="40"/>
  <c r="F137" i="40"/>
  <c r="G137" i="40"/>
  <c r="H137" i="40"/>
  <c r="I137" i="40"/>
  <c r="A138" i="40"/>
  <c r="B138" i="40"/>
  <c r="C138" i="40"/>
  <c r="E138" i="40"/>
  <c r="F138" i="40"/>
  <c r="G138" i="40"/>
  <c r="H138" i="40"/>
  <c r="I138" i="40"/>
  <c r="A139" i="40"/>
  <c r="B31" i="17" s="1"/>
  <c r="B139" i="40"/>
  <c r="C31" i="17" s="1"/>
  <c r="C139" i="40"/>
  <c r="D31" i="17" s="1"/>
  <c r="E139" i="40"/>
  <c r="F139" i="40"/>
  <c r="G139" i="40"/>
  <c r="H139" i="40"/>
  <c r="I139" i="40"/>
  <c r="A140" i="40"/>
  <c r="B32" i="17" s="1"/>
  <c r="B140" i="40"/>
  <c r="C32" i="17" s="1"/>
  <c r="C140" i="40"/>
  <c r="D32" i="17" s="1"/>
  <c r="E140" i="40"/>
  <c r="F140" i="40"/>
  <c r="G140" i="40"/>
  <c r="H140" i="40"/>
  <c r="I140" i="40"/>
  <c r="A141" i="40"/>
  <c r="B33" i="17" s="1"/>
  <c r="B141" i="40"/>
  <c r="C33" i="17" s="1"/>
  <c r="C141" i="40"/>
  <c r="D33" i="17" s="1"/>
  <c r="E141" i="40"/>
  <c r="F141" i="40"/>
  <c r="G141" i="40"/>
  <c r="H141" i="40"/>
  <c r="I141" i="40"/>
  <c r="A142" i="40"/>
  <c r="B142" i="40"/>
  <c r="C142" i="40"/>
  <c r="D142" i="40"/>
  <c r="E142" i="40"/>
  <c r="F142" i="40"/>
  <c r="G142" i="40"/>
  <c r="H142" i="40"/>
  <c r="I142" i="40"/>
  <c r="J142" i="40"/>
  <c r="A143" i="40"/>
  <c r="A104" i="52" s="1"/>
  <c r="A120" i="52" s="1"/>
  <c r="B143" i="40"/>
  <c r="B104" i="52" s="1"/>
  <c r="B120" i="52" s="1"/>
  <c r="C143" i="40"/>
  <c r="C104" i="52" s="1"/>
  <c r="C120" i="52" s="1"/>
  <c r="E143" i="40"/>
  <c r="F143" i="40"/>
  <c r="G143" i="40"/>
  <c r="H143" i="40"/>
  <c r="I143" i="40"/>
  <c r="E104" i="52" s="1"/>
  <c r="K104" i="52" s="1"/>
  <c r="A144" i="40"/>
  <c r="A105" i="52"/>
  <c r="A121" i="52" s="1"/>
  <c r="B144" i="40"/>
  <c r="B105" i="52"/>
  <c r="B121" i="52" s="1"/>
  <c r="C144" i="40"/>
  <c r="C105" i="52" s="1"/>
  <c r="C121" i="52" s="1"/>
  <c r="E144" i="40"/>
  <c r="F144" i="40"/>
  <c r="G144" i="40"/>
  <c r="H144" i="40"/>
  <c r="I144" i="40"/>
  <c r="A145" i="40"/>
  <c r="A106" i="52" s="1"/>
  <c r="A122" i="52" s="1"/>
  <c r="B145" i="40"/>
  <c r="B106" i="52" s="1"/>
  <c r="B122" i="52" s="1"/>
  <c r="C145" i="40"/>
  <c r="C106" i="52"/>
  <c r="C122" i="52"/>
  <c r="E145" i="40"/>
  <c r="F145" i="40"/>
  <c r="G145" i="40"/>
  <c r="H145" i="40"/>
  <c r="I145" i="40"/>
  <c r="A146" i="40"/>
  <c r="B146" i="40"/>
  <c r="C146" i="40"/>
  <c r="E146" i="40"/>
  <c r="F146" i="40"/>
  <c r="G146" i="40"/>
  <c r="H146" i="40"/>
  <c r="I146" i="40"/>
  <c r="A147" i="40"/>
  <c r="B147" i="40"/>
  <c r="C147" i="40"/>
  <c r="E147" i="40"/>
  <c r="F147" i="40"/>
  <c r="G147" i="40"/>
  <c r="H147" i="40"/>
  <c r="I147" i="40"/>
  <c r="A148" i="40"/>
  <c r="B148" i="40"/>
  <c r="C148" i="40"/>
  <c r="E148" i="40"/>
  <c r="F148" i="40"/>
  <c r="G148" i="40"/>
  <c r="H148" i="40"/>
  <c r="I148" i="40"/>
  <c r="A149" i="40"/>
  <c r="B149" i="40"/>
  <c r="C149" i="40"/>
  <c r="E149" i="40"/>
  <c r="F149" i="40"/>
  <c r="G149" i="40"/>
  <c r="H149" i="40"/>
  <c r="I149" i="40"/>
  <c r="A150" i="40"/>
  <c r="B150" i="40"/>
  <c r="C150" i="40"/>
  <c r="E150" i="40"/>
  <c r="F150" i="40"/>
  <c r="G150" i="40"/>
  <c r="H150" i="40"/>
  <c r="I150" i="40"/>
  <c r="A151" i="40"/>
  <c r="A107" i="52"/>
  <c r="A123" i="52" s="1"/>
  <c r="B151" i="40"/>
  <c r="C151" i="40"/>
  <c r="C107" i="52" s="1"/>
  <c r="C123" i="52" s="1"/>
  <c r="E151" i="40"/>
  <c r="F151" i="40"/>
  <c r="G151" i="40"/>
  <c r="H151" i="40"/>
  <c r="I151" i="40"/>
  <c r="A152" i="40"/>
  <c r="B152" i="40"/>
  <c r="C152" i="40"/>
  <c r="E152" i="40"/>
  <c r="F152" i="40"/>
  <c r="G152" i="40"/>
  <c r="H152" i="40"/>
  <c r="I152" i="40"/>
  <c r="A153" i="40"/>
  <c r="B153" i="40"/>
  <c r="C153" i="40"/>
  <c r="E153" i="40"/>
  <c r="F153" i="40"/>
  <c r="G153" i="40"/>
  <c r="H153" i="40"/>
  <c r="I153" i="40"/>
  <c r="A154" i="40"/>
  <c r="B154" i="40"/>
  <c r="C154" i="40"/>
  <c r="E154" i="40"/>
  <c r="F154" i="40"/>
  <c r="G154" i="40"/>
  <c r="H154" i="40"/>
  <c r="I154" i="40"/>
  <c r="A155" i="40"/>
  <c r="B155" i="40"/>
  <c r="C155" i="40"/>
  <c r="D155" i="40"/>
  <c r="E155" i="40"/>
  <c r="F155" i="40"/>
  <c r="G155" i="40"/>
  <c r="K155" i="40" s="1"/>
  <c r="H155" i="40"/>
  <c r="I155" i="40"/>
  <c r="J155" i="40"/>
  <c r="A156" i="40"/>
  <c r="B156" i="40"/>
  <c r="C156" i="40"/>
  <c r="E156" i="40"/>
  <c r="F156" i="40"/>
  <c r="G156" i="40"/>
  <c r="H156" i="40"/>
  <c r="I156" i="40"/>
  <c r="A157" i="40"/>
  <c r="B157" i="40"/>
  <c r="C157" i="40"/>
  <c r="E157" i="40"/>
  <c r="F157" i="40"/>
  <c r="G157" i="40"/>
  <c r="H157" i="40"/>
  <c r="I157" i="40"/>
  <c r="A158" i="40"/>
  <c r="B158" i="40"/>
  <c r="C158" i="40"/>
  <c r="E158" i="40"/>
  <c r="F158" i="40"/>
  <c r="G158" i="40"/>
  <c r="H158" i="40"/>
  <c r="I158" i="40"/>
  <c r="A159" i="40"/>
  <c r="B159" i="40"/>
  <c r="C159" i="40"/>
  <c r="E159" i="40"/>
  <c r="F159" i="40"/>
  <c r="G159" i="40"/>
  <c r="H159" i="40"/>
  <c r="I159" i="40"/>
  <c r="A160" i="40"/>
  <c r="B160" i="40"/>
  <c r="C160" i="40"/>
  <c r="E160" i="40"/>
  <c r="F160" i="40"/>
  <c r="G160" i="40"/>
  <c r="H160" i="40"/>
  <c r="I160" i="40"/>
  <c r="A161" i="40"/>
  <c r="B161" i="40"/>
  <c r="C161" i="40"/>
  <c r="E161" i="40"/>
  <c r="F161" i="40"/>
  <c r="G161" i="40"/>
  <c r="H161" i="40"/>
  <c r="I161" i="40"/>
  <c r="A162" i="40"/>
  <c r="B162" i="40"/>
  <c r="C162" i="40"/>
  <c r="D162" i="40"/>
  <c r="E162" i="40"/>
  <c r="F162" i="40"/>
  <c r="G162" i="40"/>
  <c r="H162" i="40"/>
  <c r="I162" i="40"/>
  <c r="J162" i="40"/>
  <c r="A163" i="40"/>
  <c r="B163" i="40"/>
  <c r="C163" i="40"/>
  <c r="E163" i="40"/>
  <c r="G163" i="40"/>
  <c r="H163" i="40"/>
  <c r="I163" i="40"/>
  <c r="A164" i="40"/>
  <c r="B164" i="40"/>
  <c r="B235" i="52" s="1"/>
  <c r="C164" i="40"/>
  <c r="E164" i="40"/>
  <c r="F164" i="40"/>
  <c r="G164" i="40"/>
  <c r="H164" i="40"/>
  <c r="I164" i="40"/>
  <c r="J164" i="40"/>
  <c r="A165" i="40"/>
  <c r="A236" i="52" s="1"/>
  <c r="B165" i="40"/>
  <c r="A166" i="40"/>
  <c r="A237" i="52" s="1"/>
  <c r="B166" i="40"/>
  <c r="B237" i="52" s="1"/>
  <c r="A167" i="40"/>
  <c r="A242" i="52" s="1"/>
  <c r="B167" i="40"/>
  <c r="B242" i="52" s="1"/>
  <c r="A168" i="40"/>
  <c r="A252" i="52" s="1"/>
  <c r="B168" i="40"/>
  <c r="B252" i="52" s="1"/>
  <c r="A169" i="40"/>
  <c r="B169" i="40"/>
  <c r="A173" i="40"/>
  <c r="B173" i="40"/>
  <c r="C37" i="17" s="1"/>
  <c r="B47" i="53" s="1"/>
  <c r="A174" i="40"/>
  <c r="B174" i="40"/>
  <c r="J174" i="40"/>
  <c r="Q174" i="40"/>
  <c r="R174" i="40"/>
  <c r="S174" i="40"/>
  <c r="Q176" i="40"/>
  <c r="R176" i="40"/>
  <c r="S176" i="40"/>
  <c r="Q178" i="40"/>
  <c r="R178" i="40"/>
  <c r="S178" i="40"/>
  <c r="A180" i="40"/>
  <c r="B180" i="40"/>
  <c r="C180" i="40"/>
  <c r="E180" i="40"/>
  <c r="F180" i="40"/>
  <c r="G180" i="40"/>
  <c r="H180" i="40"/>
  <c r="I180" i="40"/>
  <c r="A181" i="40"/>
  <c r="B181" i="40"/>
  <c r="C181" i="40"/>
  <c r="E181" i="40"/>
  <c r="F181" i="40"/>
  <c r="G181" i="40"/>
  <c r="H181" i="40"/>
  <c r="I181" i="40"/>
  <c r="A182" i="40"/>
  <c r="B182" i="40"/>
  <c r="C182" i="40"/>
  <c r="E182" i="40"/>
  <c r="F182" i="40"/>
  <c r="G182" i="40"/>
  <c r="H182" i="40"/>
  <c r="I182" i="40"/>
  <c r="A183" i="40"/>
  <c r="B183" i="40"/>
  <c r="C183" i="40"/>
  <c r="E183" i="40"/>
  <c r="F183" i="40"/>
  <c r="G183" i="40"/>
  <c r="H183" i="40"/>
  <c r="I183" i="40"/>
  <c r="A184" i="40"/>
  <c r="B184" i="40"/>
  <c r="C184" i="40"/>
  <c r="E184" i="40"/>
  <c r="F184" i="40"/>
  <c r="G184" i="40"/>
  <c r="H184" i="40"/>
  <c r="I184" i="40"/>
  <c r="A185" i="40"/>
  <c r="B185" i="40"/>
  <c r="C185" i="40"/>
  <c r="E185" i="40"/>
  <c r="F185" i="40"/>
  <c r="G185" i="40"/>
  <c r="H185" i="40"/>
  <c r="I185" i="40"/>
  <c r="A186" i="40"/>
  <c r="B186" i="40"/>
  <c r="C186" i="40"/>
  <c r="E186" i="40"/>
  <c r="F186" i="40"/>
  <c r="G186" i="40"/>
  <c r="H186" i="40"/>
  <c r="I186" i="40"/>
  <c r="A187" i="40"/>
  <c r="B187" i="40"/>
  <c r="C187" i="40"/>
  <c r="E187" i="40"/>
  <c r="F187" i="40"/>
  <c r="G187" i="40"/>
  <c r="H187" i="40"/>
  <c r="I187" i="40"/>
  <c r="A188" i="40"/>
  <c r="B188" i="40"/>
  <c r="C188" i="40"/>
  <c r="E188" i="40"/>
  <c r="F188" i="40"/>
  <c r="G188" i="40"/>
  <c r="H188" i="40"/>
  <c r="I188" i="40"/>
  <c r="A189" i="40"/>
  <c r="B189" i="40"/>
  <c r="C189" i="40"/>
  <c r="E189" i="40"/>
  <c r="F189" i="40"/>
  <c r="G189" i="40"/>
  <c r="H189" i="40"/>
  <c r="I189" i="40"/>
  <c r="A190" i="40"/>
  <c r="B190" i="40"/>
  <c r="C190" i="40"/>
  <c r="E190" i="40"/>
  <c r="F190" i="40"/>
  <c r="G190" i="40"/>
  <c r="H190" i="40"/>
  <c r="I190" i="40"/>
  <c r="A191" i="40"/>
  <c r="B191" i="40"/>
  <c r="C191" i="40"/>
  <c r="E191" i="40"/>
  <c r="F191" i="40"/>
  <c r="G191" i="40"/>
  <c r="H191" i="40"/>
  <c r="I191" i="40"/>
  <c r="A192" i="40"/>
  <c r="B192" i="40"/>
  <c r="C192" i="40"/>
  <c r="E192" i="40"/>
  <c r="F192" i="40"/>
  <c r="G192" i="40"/>
  <c r="H192" i="40"/>
  <c r="I192" i="40"/>
  <c r="A193" i="40"/>
  <c r="B193" i="40"/>
  <c r="C193" i="40"/>
  <c r="E193" i="40"/>
  <c r="F193" i="40"/>
  <c r="G193" i="40"/>
  <c r="H193" i="40"/>
  <c r="I193" i="40"/>
  <c r="A194" i="40"/>
  <c r="B194" i="40"/>
  <c r="C194" i="40"/>
  <c r="E194" i="40"/>
  <c r="F194" i="40"/>
  <c r="G194" i="40"/>
  <c r="H194" i="40"/>
  <c r="I194" i="40"/>
  <c r="A195" i="40"/>
  <c r="B195" i="40"/>
  <c r="C195" i="40"/>
  <c r="E195" i="40"/>
  <c r="F195" i="40"/>
  <c r="G195" i="40"/>
  <c r="H195" i="40"/>
  <c r="I195" i="40"/>
  <c r="A196" i="40"/>
  <c r="B196" i="40"/>
  <c r="C196" i="40"/>
  <c r="E196" i="40"/>
  <c r="F196" i="40"/>
  <c r="G196" i="40"/>
  <c r="H196" i="40"/>
  <c r="I196" i="40"/>
  <c r="A197" i="40"/>
  <c r="B197" i="40"/>
  <c r="C197" i="40"/>
  <c r="E197" i="40"/>
  <c r="F197" i="40"/>
  <c r="G197" i="40"/>
  <c r="H197" i="40"/>
  <c r="I197" i="40"/>
  <c r="A198" i="40"/>
  <c r="B47" i="17" s="1"/>
  <c r="B198" i="40"/>
  <c r="C47" i="17" s="1"/>
  <c r="C198" i="40"/>
  <c r="D198" i="40"/>
  <c r="E198" i="40"/>
  <c r="F198" i="40"/>
  <c r="A199" i="40"/>
  <c r="B199" i="40"/>
  <c r="C199" i="40"/>
  <c r="E199" i="40"/>
  <c r="F199" i="40"/>
  <c r="G199" i="40"/>
  <c r="H199" i="40"/>
  <c r="I199" i="40"/>
  <c r="A200" i="40"/>
  <c r="B200" i="40"/>
  <c r="C200" i="40"/>
  <c r="E200" i="40"/>
  <c r="F200" i="40"/>
  <c r="G200" i="40"/>
  <c r="H200" i="40"/>
  <c r="I200" i="40"/>
  <c r="A201" i="40"/>
  <c r="B201" i="40"/>
  <c r="C201" i="40"/>
  <c r="E201" i="40"/>
  <c r="F201" i="40"/>
  <c r="G201" i="40"/>
  <c r="H201" i="40"/>
  <c r="I201" i="40"/>
  <c r="A202" i="40"/>
  <c r="B202" i="40"/>
  <c r="C202" i="40"/>
  <c r="E202" i="40"/>
  <c r="F202" i="40"/>
  <c r="G202" i="40"/>
  <c r="H202" i="40"/>
  <c r="I202" i="40"/>
  <c r="A203" i="40"/>
  <c r="B203" i="40"/>
  <c r="C203" i="40"/>
  <c r="E203" i="40"/>
  <c r="F203" i="40"/>
  <c r="G203" i="40"/>
  <c r="H203" i="40"/>
  <c r="I203" i="40"/>
  <c r="A204" i="40"/>
  <c r="B204" i="40"/>
  <c r="C204" i="40"/>
  <c r="E204" i="40"/>
  <c r="F204" i="40"/>
  <c r="G204" i="40"/>
  <c r="H204" i="40"/>
  <c r="I204" i="40"/>
  <c r="A205" i="40"/>
  <c r="B205" i="40"/>
  <c r="C205" i="40"/>
  <c r="E205" i="40"/>
  <c r="F205" i="40"/>
  <c r="G205" i="40"/>
  <c r="H205" i="40"/>
  <c r="I205" i="40"/>
  <c r="A206" i="40"/>
  <c r="B206" i="40"/>
  <c r="C206" i="40"/>
  <c r="E206" i="40"/>
  <c r="F206" i="40"/>
  <c r="G206" i="40"/>
  <c r="H206" i="40"/>
  <c r="I206" i="40"/>
  <c r="A207" i="40"/>
  <c r="B207" i="40"/>
  <c r="C207" i="40"/>
  <c r="E207" i="40"/>
  <c r="F207" i="40"/>
  <c r="G207" i="40"/>
  <c r="H207" i="40"/>
  <c r="I207" i="40"/>
  <c r="A208" i="40"/>
  <c r="B208" i="40"/>
  <c r="C208" i="40"/>
  <c r="D208" i="40"/>
  <c r="E208" i="40"/>
  <c r="F208" i="40"/>
  <c r="G208" i="40"/>
  <c r="H208" i="40"/>
  <c r="I208" i="40"/>
  <c r="J208" i="40"/>
  <c r="K208" i="40" s="1"/>
  <c r="A209" i="40"/>
  <c r="B209" i="40"/>
  <c r="C209" i="40"/>
  <c r="E209" i="40"/>
  <c r="F209" i="40"/>
  <c r="G209" i="40"/>
  <c r="H209" i="40"/>
  <c r="I209" i="40"/>
  <c r="A210" i="40"/>
  <c r="B210" i="40"/>
  <c r="C210" i="40"/>
  <c r="E210" i="40"/>
  <c r="F210" i="40"/>
  <c r="G210" i="40"/>
  <c r="H210" i="40"/>
  <c r="I210" i="40"/>
  <c r="A211" i="40"/>
  <c r="B211" i="40"/>
  <c r="C211" i="40"/>
  <c r="E211" i="40"/>
  <c r="F211" i="40"/>
  <c r="G211" i="40"/>
  <c r="H211" i="40"/>
  <c r="I211" i="40"/>
  <c r="A212" i="40"/>
  <c r="B212" i="40"/>
  <c r="C212" i="40"/>
  <c r="E212" i="40"/>
  <c r="F212" i="40"/>
  <c r="G212" i="40"/>
  <c r="H212" i="40"/>
  <c r="I212" i="40"/>
  <c r="A213" i="40"/>
  <c r="B213" i="40"/>
  <c r="C213" i="40"/>
  <c r="E213" i="40"/>
  <c r="F213" i="40"/>
  <c r="G213" i="40"/>
  <c r="H213" i="40"/>
  <c r="I213" i="40"/>
  <c r="A214" i="40"/>
  <c r="B214" i="40"/>
  <c r="C214" i="40"/>
  <c r="E214" i="40"/>
  <c r="F214" i="40"/>
  <c r="G214" i="40"/>
  <c r="H214" i="40"/>
  <c r="I214" i="40"/>
  <c r="A215" i="40"/>
  <c r="B215" i="40"/>
  <c r="C215" i="40"/>
  <c r="E215" i="40"/>
  <c r="F215" i="40"/>
  <c r="G215" i="40"/>
  <c r="H215" i="40"/>
  <c r="I215" i="40"/>
  <c r="A216" i="40"/>
  <c r="B216" i="40"/>
  <c r="C216" i="40"/>
  <c r="E216" i="40"/>
  <c r="F216" i="40"/>
  <c r="G216" i="40"/>
  <c r="H216" i="40"/>
  <c r="I216" i="40"/>
  <c r="A217" i="40"/>
  <c r="B217" i="40"/>
  <c r="C217" i="40"/>
  <c r="E217" i="40"/>
  <c r="F217" i="40"/>
  <c r="G217" i="40"/>
  <c r="H217" i="40"/>
  <c r="I217" i="40"/>
  <c r="A218" i="40"/>
  <c r="B218" i="40"/>
  <c r="C218" i="40"/>
  <c r="E218" i="40"/>
  <c r="F218" i="40"/>
  <c r="G218" i="40"/>
  <c r="H218" i="40"/>
  <c r="I218" i="40"/>
  <c r="A219" i="40"/>
  <c r="B219" i="40"/>
  <c r="C219" i="40"/>
  <c r="E219" i="40"/>
  <c r="F219" i="40"/>
  <c r="G219" i="40"/>
  <c r="H219" i="40"/>
  <c r="I219" i="40"/>
  <c r="A220" i="40"/>
  <c r="B220" i="40"/>
  <c r="C220" i="40"/>
  <c r="E220" i="40"/>
  <c r="F220" i="40"/>
  <c r="G220" i="40"/>
  <c r="H220" i="40"/>
  <c r="I220" i="40"/>
  <c r="A221" i="40"/>
  <c r="B221" i="40"/>
  <c r="A222" i="40"/>
  <c r="B222" i="40"/>
  <c r="A223" i="40"/>
  <c r="A280" i="52" s="1"/>
  <c r="B223" i="40"/>
  <c r="B280" i="52" s="1"/>
  <c r="A224" i="40"/>
  <c r="A285" i="52" s="1"/>
  <c r="B224" i="40"/>
  <c r="B285" i="52" s="1"/>
  <c r="A229" i="40"/>
  <c r="B229" i="40"/>
  <c r="A230" i="40"/>
  <c r="B230" i="40"/>
  <c r="B357" i="52" s="1"/>
  <c r="G230" i="40"/>
  <c r="H230" i="40"/>
  <c r="A236" i="40"/>
  <c r="B236" i="40"/>
  <c r="C236" i="40"/>
  <c r="F236" i="40"/>
  <c r="G236" i="40"/>
  <c r="A237" i="40"/>
  <c r="B237" i="40"/>
  <c r="C237" i="40"/>
  <c r="E237" i="40"/>
  <c r="F237" i="40"/>
  <c r="G237" i="40"/>
  <c r="A238" i="40"/>
  <c r="B238" i="40"/>
  <c r="C238" i="40"/>
  <c r="E238" i="40"/>
  <c r="F238" i="40"/>
  <c r="G238" i="40"/>
  <c r="A239" i="40"/>
  <c r="B239" i="40"/>
  <c r="C239" i="40"/>
  <c r="E239" i="40"/>
  <c r="F239" i="40"/>
  <c r="G239" i="40"/>
  <c r="A240" i="40"/>
  <c r="B240" i="40"/>
  <c r="C240" i="40"/>
  <c r="E240" i="40"/>
  <c r="F240" i="40"/>
  <c r="G240" i="40"/>
  <c r="A241" i="40"/>
  <c r="B241" i="40"/>
  <c r="C241" i="40"/>
  <c r="E241" i="40"/>
  <c r="F241" i="40"/>
  <c r="G241" i="40"/>
  <c r="A242" i="40"/>
  <c r="B242" i="40"/>
  <c r="C242" i="40"/>
  <c r="E242" i="40"/>
  <c r="F242" i="40"/>
  <c r="G242" i="40"/>
  <c r="A243" i="40"/>
  <c r="B243" i="40"/>
  <c r="C243" i="40"/>
  <c r="E243" i="40"/>
  <c r="F243" i="40"/>
  <c r="G243" i="40"/>
  <c r="A244" i="40"/>
  <c r="B244" i="40"/>
  <c r="C244" i="40"/>
  <c r="E244" i="40"/>
  <c r="F244" i="40"/>
  <c r="G244" i="40"/>
  <c r="A245" i="40"/>
  <c r="B245" i="40"/>
  <c r="C245" i="40"/>
  <c r="E245" i="40"/>
  <c r="F245" i="40"/>
  <c r="G245" i="40"/>
  <c r="A246" i="40"/>
  <c r="B246" i="40"/>
  <c r="C246" i="40"/>
  <c r="E246" i="40"/>
  <c r="F246" i="40"/>
  <c r="G246" i="40"/>
  <c r="A247" i="40"/>
  <c r="B247" i="40"/>
  <c r="C247" i="40"/>
  <c r="E247" i="40"/>
  <c r="F247" i="40"/>
  <c r="G247" i="40"/>
  <c r="A248" i="40"/>
  <c r="B248" i="40"/>
  <c r="C248" i="40"/>
  <c r="E248" i="40"/>
  <c r="F248" i="40"/>
  <c r="G248" i="40"/>
  <c r="A249" i="40"/>
  <c r="B249" i="40"/>
  <c r="C249" i="40"/>
  <c r="E249" i="40"/>
  <c r="F249" i="40"/>
  <c r="G249" i="40"/>
  <c r="A250" i="40"/>
  <c r="B250" i="40"/>
  <c r="C250" i="40"/>
  <c r="E250" i="40"/>
  <c r="F250" i="40"/>
  <c r="G250" i="40"/>
  <c r="A251" i="40"/>
  <c r="B251" i="40"/>
  <c r="C251" i="40"/>
  <c r="E251" i="40"/>
  <c r="F251" i="40"/>
  <c r="G251" i="40"/>
  <c r="A252" i="40"/>
  <c r="B252" i="40"/>
  <c r="C252" i="40"/>
  <c r="E252" i="40"/>
  <c r="F252" i="40"/>
  <c r="G252" i="40"/>
  <c r="A253" i="40"/>
  <c r="B253" i="40"/>
  <c r="C253" i="40"/>
  <c r="E253" i="40"/>
  <c r="F253" i="40"/>
  <c r="G253" i="40"/>
  <c r="A254" i="40"/>
  <c r="B254" i="40"/>
  <c r="C254" i="40"/>
  <c r="E254" i="40"/>
  <c r="F254" i="40"/>
  <c r="G254" i="40"/>
  <c r="A255" i="40"/>
  <c r="B255" i="40"/>
  <c r="C255" i="40"/>
  <c r="E255" i="40"/>
  <c r="F255" i="40"/>
  <c r="G255" i="40"/>
  <c r="A256" i="40"/>
  <c r="B256" i="40"/>
  <c r="C256" i="40"/>
  <c r="E256" i="40"/>
  <c r="F256" i="40"/>
  <c r="G256" i="40"/>
  <c r="A257" i="40"/>
  <c r="B257" i="40"/>
  <c r="C257" i="40"/>
  <c r="E257" i="40"/>
  <c r="F257" i="40"/>
  <c r="G257" i="40"/>
  <c r="H257" i="40"/>
  <c r="A258" i="40"/>
  <c r="B258" i="40"/>
  <c r="C258" i="40"/>
  <c r="E258" i="40"/>
  <c r="F258" i="40"/>
  <c r="G258" i="40"/>
  <c r="A259" i="40"/>
  <c r="B259" i="40"/>
  <c r="C54" i="17" s="1"/>
  <c r="C259" i="40"/>
  <c r="E259" i="40"/>
  <c r="F259" i="40"/>
  <c r="G259" i="40"/>
  <c r="A260" i="40"/>
  <c r="A362" i="52" s="1"/>
  <c r="B260" i="40"/>
  <c r="C260" i="40"/>
  <c r="C362" i="52" s="1"/>
  <c r="E260" i="40"/>
  <c r="F260" i="40"/>
  <c r="G260" i="40"/>
  <c r="A261" i="40"/>
  <c r="B261" i="40"/>
  <c r="C261" i="40"/>
  <c r="E261" i="40"/>
  <c r="F261" i="40"/>
  <c r="G261" i="40"/>
  <c r="A262" i="40"/>
  <c r="B262" i="40"/>
  <c r="C262" i="40"/>
  <c r="E262" i="40"/>
  <c r="F262" i="40"/>
  <c r="G262" i="40"/>
  <c r="A263" i="40"/>
  <c r="B263" i="40"/>
  <c r="C263" i="40"/>
  <c r="E263" i="40"/>
  <c r="F263" i="40"/>
  <c r="G263" i="40"/>
  <c r="A264" i="40"/>
  <c r="B264" i="40"/>
  <c r="C264" i="40"/>
  <c r="E264" i="40"/>
  <c r="F264" i="40"/>
  <c r="G264" i="40"/>
  <c r="A265" i="40"/>
  <c r="B265" i="40"/>
  <c r="C265" i="40"/>
  <c r="E265" i="40"/>
  <c r="F265" i="40"/>
  <c r="G265" i="40"/>
  <c r="A266" i="40"/>
  <c r="B266" i="40"/>
  <c r="C266" i="40"/>
  <c r="E266" i="40"/>
  <c r="F266" i="40"/>
  <c r="G266" i="40"/>
  <c r="A267" i="40"/>
  <c r="B267" i="40"/>
  <c r="C267" i="40"/>
  <c r="E267" i="40"/>
  <c r="F267" i="40"/>
  <c r="G267" i="40"/>
  <c r="A268" i="40"/>
  <c r="B268" i="40"/>
  <c r="C268" i="40"/>
  <c r="E268" i="40"/>
  <c r="F268" i="40"/>
  <c r="G268" i="40"/>
  <c r="A269" i="40"/>
  <c r="B57" i="17" s="1"/>
  <c r="B269" i="40"/>
  <c r="C269" i="40"/>
  <c r="E269" i="40"/>
  <c r="F269" i="40"/>
  <c r="G269" i="40"/>
  <c r="A270" i="40"/>
  <c r="B270" i="40"/>
  <c r="C270" i="40"/>
  <c r="E270" i="40"/>
  <c r="F270" i="40"/>
  <c r="G270" i="40"/>
  <c r="A271" i="40"/>
  <c r="B271" i="40"/>
  <c r="C271" i="40"/>
  <c r="E271" i="40"/>
  <c r="F271" i="40"/>
  <c r="G271" i="40"/>
  <c r="A272" i="40"/>
  <c r="B272" i="40"/>
  <c r="C272" i="40"/>
  <c r="E272" i="40"/>
  <c r="F272" i="40"/>
  <c r="G272" i="40"/>
  <c r="H272" i="40"/>
  <c r="A273" i="40"/>
  <c r="B273" i="40"/>
  <c r="C273" i="40"/>
  <c r="E273" i="40"/>
  <c r="F273" i="40"/>
  <c r="G273" i="40"/>
  <c r="A274" i="40"/>
  <c r="B274" i="40"/>
  <c r="C274" i="40"/>
  <c r="E274" i="40"/>
  <c r="F274" i="40"/>
  <c r="G274" i="40"/>
  <c r="A275" i="40"/>
  <c r="B275" i="40"/>
  <c r="C275" i="40"/>
  <c r="E275" i="40"/>
  <c r="F275" i="40"/>
  <c r="G275" i="40"/>
  <c r="A276" i="40"/>
  <c r="B276" i="40"/>
  <c r="C276" i="40"/>
  <c r="E276" i="40"/>
  <c r="F276" i="40"/>
  <c r="G276" i="40"/>
  <c r="A277" i="40"/>
  <c r="B277" i="40"/>
  <c r="C277" i="40"/>
  <c r="E277" i="40"/>
  <c r="F277" i="40"/>
  <c r="G277" i="40"/>
  <c r="A278" i="40"/>
  <c r="A365" i="52" s="1"/>
  <c r="B278" i="40"/>
  <c r="C278" i="40"/>
  <c r="E278" i="40"/>
  <c r="F278" i="40"/>
  <c r="G278" i="40"/>
  <c r="A279" i="40"/>
  <c r="A366" i="52" s="1"/>
  <c r="B279" i="40"/>
  <c r="C279" i="40"/>
  <c r="E279" i="40"/>
  <c r="F279" i="40"/>
  <c r="G279" i="40"/>
  <c r="A280" i="40"/>
  <c r="B280" i="40"/>
  <c r="C280" i="40"/>
  <c r="C367" i="52" s="1"/>
  <c r="E280" i="40"/>
  <c r="F280" i="40"/>
  <c r="G280" i="40"/>
  <c r="A281" i="40"/>
  <c r="B281" i="40"/>
  <c r="C281" i="40"/>
  <c r="C368" i="52"/>
  <c r="E281" i="40"/>
  <c r="F281" i="40"/>
  <c r="G281" i="40"/>
  <c r="A282" i="40"/>
  <c r="B282" i="40"/>
  <c r="C282" i="40"/>
  <c r="E282" i="40"/>
  <c r="F282" i="40"/>
  <c r="A283" i="40"/>
  <c r="B283" i="40"/>
  <c r="C283" i="40"/>
  <c r="D283" i="40"/>
  <c r="E283" i="40"/>
  <c r="F283" i="40"/>
  <c r="H283" i="40"/>
  <c r="A284" i="40"/>
  <c r="B284" i="40"/>
  <c r="C284" i="40"/>
  <c r="E284" i="40"/>
  <c r="F284" i="40"/>
  <c r="A285" i="40"/>
  <c r="B285" i="40"/>
  <c r="C285" i="40"/>
  <c r="E285" i="40"/>
  <c r="F285" i="40"/>
  <c r="A286" i="40"/>
  <c r="B286" i="40"/>
  <c r="C286" i="40"/>
  <c r="E286" i="40"/>
  <c r="F286" i="40"/>
  <c r="G286" i="40"/>
  <c r="A287" i="40"/>
  <c r="B287" i="40"/>
  <c r="C287" i="40"/>
  <c r="E287" i="40"/>
  <c r="F287" i="40"/>
  <c r="G287" i="40"/>
  <c r="A288" i="40"/>
  <c r="B288" i="40"/>
  <c r="C288" i="40"/>
  <c r="E288" i="40"/>
  <c r="F288" i="40"/>
  <c r="G288" i="40"/>
  <c r="A289" i="40"/>
  <c r="B289" i="40"/>
  <c r="C289" i="40"/>
  <c r="E289" i="40"/>
  <c r="F289" i="40"/>
  <c r="A290" i="40"/>
  <c r="B290" i="40"/>
  <c r="C290" i="40"/>
  <c r="E290" i="40"/>
  <c r="F290" i="40"/>
  <c r="A291" i="40"/>
  <c r="A372" i="52" s="1"/>
  <c r="B291" i="40"/>
  <c r="B372" i="52" s="1"/>
  <c r="C291" i="40"/>
  <c r="C372" i="52" s="1"/>
  <c r="E291" i="40"/>
  <c r="F291" i="40"/>
  <c r="D372" i="52" s="1"/>
  <c r="G291" i="40"/>
  <c r="H291" i="40"/>
  <c r="A292" i="40"/>
  <c r="A373" i="52" s="1"/>
  <c r="B292" i="40"/>
  <c r="B373" i="52" s="1"/>
  <c r="B376" i="52"/>
  <c r="B379" i="52"/>
  <c r="B382" i="52"/>
  <c r="B385" i="52"/>
  <c r="B388" i="52"/>
  <c r="B389" i="52"/>
  <c r="A304" i="40"/>
  <c r="B304" i="40"/>
  <c r="B433" i="52" s="1"/>
  <c r="A305" i="40"/>
  <c r="C305" i="40"/>
  <c r="E305" i="40"/>
  <c r="F305" i="40"/>
  <c r="J305" i="40"/>
  <c r="A306" i="40"/>
  <c r="B306" i="40"/>
  <c r="C306" i="40"/>
  <c r="E306" i="40"/>
  <c r="F306" i="40"/>
  <c r="G306" i="40"/>
  <c r="H306" i="40"/>
  <c r="I306" i="40"/>
  <c r="A307" i="40"/>
  <c r="B307" i="40"/>
  <c r="C307" i="40"/>
  <c r="E307" i="40"/>
  <c r="F307" i="40"/>
  <c r="G307" i="40"/>
  <c r="H307" i="40"/>
  <c r="I307" i="40"/>
  <c r="A308" i="40"/>
  <c r="B308" i="40"/>
  <c r="C308" i="40"/>
  <c r="E308" i="40"/>
  <c r="F308" i="40"/>
  <c r="G308" i="40"/>
  <c r="H308" i="40"/>
  <c r="I308" i="40"/>
  <c r="A309" i="40"/>
  <c r="B309" i="40"/>
  <c r="C309" i="40"/>
  <c r="E309" i="40"/>
  <c r="F309" i="40"/>
  <c r="G309" i="40"/>
  <c r="H309" i="40"/>
  <c r="I309" i="40"/>
  <c r="A310" i="40"/>
  <c r="B310" i="40"/>
  <c r="C310" i="40"/>
  <c r="E310" i="40"/>
  <c r="F310" i="40"/>
  <c r="G310" i="40"/>
  <c r="H310" i="40"/>
  <c r="I310" i="40"/>
  <c r="A311" i="40"/>
  <c r="B311" i="40"/>
  <c r="C311" i="40"/>
  <c r="E311" i="40"/>
  <c r="F311" i="40"/>
  <c r="G311" i="40"/>
  <c r="H311" i="40"/>
  <c r="I311" i="40"/>
  <c r="A312" i="40"/>
  <c r="B312" i="40"/>
  <c r="C312" i="40"/>
  <c r="E312" i="40"/>
  <c r="F312" i="40"/>
  <c r="G312" i="40"/>
  <c r="H312" i="40"/>
  <c r="I312" i="40"/>
  <c r="A313" i="40"/>
  <c r="B313" i="40"/>
  <c r="C313" i="40"/>
  <c r="E313" i="40"/>
  <c r="F313" i="40"/>
  <c r="G313" i="40"/>
  <c r="H313" i="40"/>
  <c r="I313" i="40"/>
  <c r="A314" i="40"/>
  <c r="B314" i="40"/>
  <c r="C314" i="40"/>
  <c r="E314" i="40"/>
  <c r="F314" i="40"/>
  <c r="G314" i="40"/>
  <c r="H314" i="40"/>
  <c r="I314" i="40"/>
  <c r="A315" i="40"/>
  <c r="B315" i="40"/>
  <c r="C315" i="40"/>
  <c r="D315" i="40"/>
  <c r="E315" i="40"/>
  <c r="F315" i="40"/>
  <c r="G315" i="40"/>
  <c r="K315" i="40" s="1"/>
  <c r="H315" i="40"/>
  <c r="I315" i="40"/>
  <c r="J315" i="40"/>
  <c r="A316" i="40"/>
  <c r="B316" i="40"/>
  <c r="C316" i="40"/>
  <c r="E316" i="40"/>
  <c r="F316" i="40"/>
  <c r="G316" i="40"/>
  <c r="H316" i="40"/>
  <c r="I316" i="40"/>
  <c r="A317" i="40"/>
  <c r="B317" i="40"/>
  <c r="C317" i="40"/>
  <c r="E317" i="40"/>
  <c r="F317" i="40"/>
  <c r="G317" i="40"/>
  <c r="H317" i="40"/>
  <c r="I317" i="40"/>
  <c r="A318" i="40"/>
  <c r="B318" i="40"/>
  <c r="C318" i="40"/>
  <c r="D318" i="40"/>
  <c r="E318" i="40"/>
  <c r="F318" i="40"/>
  <c r="G318" i="40"/>
  <c r="H318" i="40"/>
  <c r="I318" i="40"/>
  <c r="J318" i="40"/>
  <c r="A319" i="40"/>
  <c r="B319" i="40"/>
  <c r="C319" i="40"/>
  <c r="D319" i="40"/>
  <c r="E319" i="40"/>
  <c r="F319" i="40"/>
  <c r="G319" i="40"/>
  <c r="H319" i="40"/>
  <c r="I319" i="40"/>
  <c r="M319" i="40" s="1"/>
  <c r="J319" i="40"/>
  <c r="A320" i="40"/>
  <c r="B320" i="40"/>
  <c r="C320" i="40"/>
  <c r="E320" i="40"/>
  <c r="F320" i="40"/>
  <c r="G320" i="40"/>
  <c r="H320" i="40"/>
  <c r="I320" i="40"/>
  <c r="A321" i="40"/>
  <c r="B321" i="40"/>
  <c r="C321" i="40"/>
  <c r="E321" i="40"/>
  <c r="F321" i="40"/>
  <c r="G321" i="40"/>
  <c r="H321" i="40"/>
  <c r="I321" i="40"/>
  <c r="A322" i="40"/>
  <c r="B322" i="40"/>
  <c r="C322" i="40"/>
  <c r="D322" i="40"/>
  <c r="E322" i="40"/>
  <c r="F322" i="40"/>
  <c r="G322" i="40"/>
  <c r="K322" i="40" s="1"/>
  <c r="H322" i="40"/>
  <c r="I322" i="40"/>
  <c r="J322" i="40"/>
  <c r="L322" i="40" s="1"/>
  <c r="A323" i="40"/>
  <c r="B323" i="40"/>
  <c r="C323" i="40"/>
  <c r="E323" i="40"/>
  <c r="F323" i="40"/>
  <c r="G323" i="40"/>
  <c r="H323" i="40"/>
  <c r="I323" i="40"/>
  <c r="A324" i="40"/>
  <c r="B324" i="40"/>
  <c r="C324" i="40"/>
  <c r="E324" i="40"/>
  <c r="F324" i="40"/>
  <c r="G324" i="40"/>
  <c r="H324" i="40"/>
  <c r="I324" i="40"/>
  <c r="A325" i="40"/>
  <c r="B325" i="40"/>
  <c r="C325" i="40"/>
  <c r="E325" i="40"/>
  <c r="F325" i="40"/>
  <c r="G325" i="40"/>
  <c r="H325" i="40"/>
  <c r="I325" i="40"/>
  <c r="A326" i="40"/>
  <c r="B326" i="40"/>
  <c r="C326" i="40"/>
  <c r="E326" i="40"/>
  <c r="F326" i="40"/>
  <c r="G326" i="40"/>
  <c r="H326" i="40"/>
  <c r="I326" i="40"/>
  <c r="A327" i="40"/>
  <c r="B327" i="40"/>
  <c r="C327" i="40"/>
  <c r="E327" i="40"/>
  <c r="F327" i="40"/>
  <c r="G327" i="40"/>
  <c r="H327" i="40"/>
  <c r="I327" i="40"/>
  <c r="A328" i="40"/>
  <c r="B328" i="40"/>
  <c r="C328" i="40"/>
  <c r="E328" i="40"/>
  <c r="F328" i="40"/>
  <c r="G328" i="40"/>
  <c r="H328" i="40"/>
  <c r="I328" i="40"/>
  <c r="A329" i="40"/>
  <c r="B329" i="40"/>
  <c r="C329" i="40"/>
  <c r="E329" i="40"/>
  <c r="F329" i="40"/>
  <c r="G329" i="40"/>
  <c r="H329" i="40"/>
  <c r="I329" i="40"/>
  <c r="A330" i="40"/>
  <c r="B330" i="40"/>
  <c r="C330" i="40"/>
  <c r="E330" i="40"/>
  <c r="F330" i="40"/>
  <c r="G330" i="40"/>
  <c r="H330" i="40"/>
  <c r="I330" i="40"/>
  <c r="A331" i="40"/>
  <c r="B331" i="40"/>
  <c r="C331" i="40"/>
  <c r="E331" i="40"/>
  <c r="F331" i="40"/>
  <c r="G331" i="40"/>
  <c r="H331" i="40"/>
  <c r="I331" i="40"/>
  <c r="A332" i="40"/>
  <c r="B332" i="40"/>
  <c r="C332" i="40"/>
  <c r="D332" i="40"/>
  <c r="E332" i="40"/>
  <c r="F332" i="40"/>
  <c r="G332" i="40"/>
  <c r="H332" i="40"/>
  <c r="L332" i="40" s="1"/>
  <c r="I332" i="40"/>
  <c r="J332" i="40"/>
  <c r="A333" i="40"/>
  <c r="B333" i="40"/>
  <c r="C333" i="40"/>
  <c r="E333" i="40"/>
  <c r="F333" i="40"/>
  <c r="G333" i="40"/>
  <c r="H333" i="40"/>
  <c r="I333" i="40"/>
  <c r="A334" i="40"/>
  <c r="B334" i="40"/>
  <c r="C334" i="40"/>
  <c r="E334" i="40"/>
  <c r="F334" i="40"/>
  <c r="G334" i="40"/>
  <c r="H334" i="40"/>
  <c r="I334" i="40"/>
  <c r="A335" i="40"/>
  <c r="B335" i="40"/>
  <c r="C335" i="40"/>
  <c r="D335" i="40"/>
  <c r="E335" i="40"/>
  <c r="F335" i="40"/>
  <c r="G335" i="40"/>
  <c r="H335" i="40"/>
  <c r="I335" i="40"/>
  <c r="J335" i="40"/>
  <c r="A336" i="40"/>
  <c r="B336" i="40"/>
  <c r="C336" i="40"/>
  <c r="E336" i="40"/>
  <c r="F336" i="40"/>
  <c r="G336" i="40"/>
  <c r="H336" i="40"/>
  <c r="I336" i="40"/>
  <c r="A337" i="40"/>
  <c r="B337" i="40"/>
  <c r="C337" i="40"/>
  <c r="E337" i="40"/>
  <c r="F337" i="40"/>
  <c r="G337" i="40"/>
  <c r="H337" i="40"/>
  <c r="I337" i="40"/>
  <c r="A338" i="40"/>
  <c r="B338" i="40"/>
  <c r="C338" i="40"/>
  <c r="E338" i="40"/>
  <c r="F338" i="40"/>
  <c r="G338" i="40"/>
  <c r="H338" i="40"/>
  <c r="I338" i="40"/>
  <c r="A339" i="40"/>
  <c r="B339" i="40"/>
  <c r="C339" i="40"/>
  <c r="E339" i="40"/>
  <c r="F339" i="40"/>
  <c r="G339" i="40"/>
  <c r="H339" i="40"/>
  <c r="I339" i="40"/>
  <c r="A340" i="40"/>
  <c r="B340" i="40"/>
  <c r="C340" i="40"/>
  <c r="E340" i="40"/>
  <c r="F340" i="40"/>
  <c r="G340" i="40"/>
  <c r="H340" i="40"/>
  <c r="I340" i="40"/>
  <c r="A341" i="40"/>
  <c r="B341" i="40"/>
  <c r="C341" i="40"/>
  <c r="E341" i="40"/>
  <c r="F341" i="40"/>
  <c r="G341" i="40"/>
  <c r="H341" i="40"/>
  <c r="I341" i="40"/>
  <c r="A342" i="40"/>
  <c r="B342" i="40"/>
  <c r="C342" i="40"/>
  <c r="E342" i="40"/>
  <c r="F342" i="40"/>
  <c r="G342" i="40"/>
  <c r="H342" i="40"/>
  <c r="I342" i="40"/>
  <c r="A343" i="40"/>
  <c r="B343" i="40"/>
  <c r="C343" i="40"/>
  <c r="E343" i="40"/>
  <c r="F343" i="40"/>
  <c r="G343" i="40"/>
  <c r="H343" i="40"/>
  <c r="I343" i="40"/>
  <c r="A344" i="40"/>
  <c r="B344" i="40"/>
  <c r="C344" i="40"/>
  <c r="E344" i="40"/>
  <c r="F344" i="40"/>
  <c r="G344" i="40"/>
  <c r="H344" i="40"/>
  <c r="I344" i="40"/>
  <c r="A345" i="40"/>
  <c r="B345" i="40"/>
  <c r="C345" i="40"/>
  <c r="E345" i="40"/>
  <c r="F345" i="40"/>
  <c r="G345" i="40"/>
  <c r="H345" i="40"/>
  <c r="I345" i="40"/>
  <c r="A346" i="40"/>
  <c r="B346" i="40"/>
  <c r="C346" i="40"/>
  <c r="E346" i="40"/>
  <c r="F346" i="40"/>
  <c r="G346" i="40"/>
  <c r="H346" i="40"/>
  <c r="I346" i="40"/>
  <c r="A347" i="40"/>
  <c r="B347" i="40"/>
  <c r="C347" i="40"/>
  <c r="E347" i="40"/>
  <c r="F347" i="40"/>
  <c r="G347" i="40"/>
  <c r="H347" i="40"/>
  <c r="I347" i="40"/>
  <c r="A348" i="40"/>
  <c r="B348" i="40"/>
  <c r="C348" i="40"/>
  <c r="E348" i="40"/>
  <c r="F348" i="40"/>
  <c r="G348" i="40"/>
  <c r="H348" i="40"/>
  <c r="I348" i="40"/>
  <c r="A349" i="40"/>
  <c r="B349" i="40"/>
  <c r="C349" i="40"/>
  <c r="E349" i="40"/>
  <c r="F349" i="40"/>
  <c r="G349" i="40"/>
  <c r="H349" i="40"/>
  <c r="I349" i="40"/>
  <c r="A350" i="40"/>
  <c r="B350" i="40"/>
  <c r="C350" i="40"/>
  <c r="E350" i="40"/>
  <c r="F350" i="40"/>
  <c r="G350" i="40"/>
  <c r="H350" i="40"/>
  <c r="I350" i="40"/>
  <c r="A351" i="40"/>
  <c r="B351" i="40"/>
  <c r="C351" i="40"/>
  <c r="E351" i="40"/>
  <c r="F351" i="40"/>
  <c r="G351" i="40"/>
  <c r="H351" i="40"/>
  <c r="I351" i="40"/>
  <c r="A354" i="40"/>
  <c r="A438" i="52" s="1"/>
  <c r="B354" i="40"/>
  <c r="B438" i="52" s="1"/>
  <c r="C354" i="40"/>
  <c r="E354" i="40"/>
  <c r="F354" i="40"/>
  <c r="G354" i="40"/>
  <c r="H354" i="40"/>
  <c r="I354" i="40"/>
  <c r="J354" i="40"/>
  <c r="A355" i="40"/>
  <c r="A439" i="52" s="1"/>
  <c r="B355" i="40"/>
  <c r="B439" i="52" s="1"/>
  <c r="A356" i="40"/>
  <c r="A440" i="52" s="1"/>
  <c r="B356" i="40"/>
  <c r="B440" i="52" s="1"/>
  <c r="A357" i="40"/>
  <c r="A441" i="52" s="1"/>
  <c r="B357" i="40"/>
  <c r="B441" i="52" s="1"/>
  <c r="A358" i="40"/>
  <c r="A442" i="52" s="1"/>
  <c r="B358" i="40"/>
  <c r="B442" i="52" s="1"/>
  <c r="A359" i="40"/>
  <c r="A443" i="52"/>
  <c r="B359" i="40"/>
  <c r="B443" i="52" s="1"/>
  <c r="A360" i="40"/>
  <c r="A444" i="52" s="1"/>
  <c r="B360" i="40"/>
  <c r="B444" i="52"/>
  <c r="A365" i="40"/>
  <c r="B67" i="17" s="1"/>
  <c r="B365" i="40"/>
  <c r="A366" i="40"/>
  <c r="B366" i="40"/>
  <c r="C366" i="40"/>
  <c r="E366" i="40"/>
  <c r="F366" i="40"/>
  <c r="J366" i="40"/>
  <c r="A367" i="40"/>
  <c r="B367" i="40"/>
  <c r="C367" i="40"/>
  <c r="E367" i="40"/>
  <c r="F367" i="40"/>
  <c r="G367" i="40"/>
  <c r="H367" i="40"/>
  <c r="I367" i="40"/>
  <c r="A368" i="40"/>
  <c r="B368" i="40"/>
  <c r="C368" i="40"/>
  <c r="E368" i="40"/>
  <c r="F368" i="40"/>
  <c r="G368" i="40"/>
  <c r="H368" i="40"/>
  <c r="I368" i="40"/>
  <c r="A369" i="40"/>
  <c r="B369" i="40"/>
  <c r="C369" i="40"/>
  <c r="E369" i="40"/>
  <c r="F369" i="40"/>
  <c r="G369" i="40"/>
  <c r="H369" i="40"/>
  <c r="I369" i="40"/>
  <c r="A370" i="40"/>
  <c r="B370" i="40"/>
  <c r="C370" i="40"/>
  <c r="E370" i="40"/>
  <c r="F370" i="40"/>
  <c r="G370" i="40"/>
  <c r="H370" i="40"/>
  <c r="I370" i="40"/>
  <c r="A371" i="40"/>
  <c r="B371" i="40"/>
  <c r="C371" i="40"/>
  <c r="E371" i="40"/>
  <c r="F371" i="40"/>
  <c r="G371" i="40"/>
  <c r="H371" i="40"/>
  <c r="I371" i="40"/>
  <c r="A372" i="40"/>
  <c r="B372" i="40"/>
  <c r="C372" i="40"/>
  <c r="E372" i="40"/>
  <c r="F372" i="40"/>
  <c r="G372" i="40"/>
  <c r="H372" i="40"/>
  <c r="I372" i="40"/>
  <c r="A373" i="40"/>
  <c r="B373" i="40"/>
  <c r="C373" i="40"/>
  <c r="E373" i="40"/>
  <c r="F373" i="40"/>
  <c r="G373" i="40"/>
  <c r="H373" i="40"/>
  <c r="I373" i="40"/>
  <c r="A374" i="40"/>
  <c r="B374" i="40"/>
  <c r="C374" i="40"/>
  <c r="E374" i="40"/>
  <c r="F374" i="40"/>
  <c r="G374" i="40"/>
  <c r="H374" i="40"/>
  <c r="I374" i="40"/>
  <c r="A375" i="40"/>
  <c r="B375" i="40"/>
  <c r="C375" i="40"/>
  <c r="E375" i="40"/>
  <c r="F375" i="40"/>
  <c r="G375" i="40"/>
  <c r="H375" i="40"/>
  <c r="I375" i="40"/>
  <c r="A376" i="40"/>
  <c r="B376" i="40"/>
  <c r="C376" i="40"/>
  <c r="D376" i="40"/>
  <c r="E376" i="40"/>
  <c r="F376" i="40"/>
  <c r="G376" i="40"/>
  <c r="H376" i="40"/>
  <c r="I376" i="40"/>
  <c r="J376" i="40"/>
  <c r="A377" i="40"/>
  <c r="B377" i="40"/>
  <c r="C377" i="40"/>
  <c r="E377" i="40"/>
  <c r="F377" i="40"/>
  <c r="G377" i="40"/>
  <c r="H377" i="40"/>
  <c r="I377" i="40"/>
  <c r="A378" i="40"/>
  <c r="B378" i="40"/>
  <c r="C378" i="40"/>
  <c r="E378" i="40"/>
  <c r="F378" i="40"/>
  <c r="G378" i="40"/>
  <c r="H378" i="40"/>
  <c r="I378" i="40"/>
  <c r="A379" i="40"/>
  <c r="B379" i="40"/>
  <c r="C379" i="40"/>
  <c r="E379" i="40"/>
  <c r="F379" i="40"/>
  <c r="G379" i="40"/>
  <c r="H379" i="40"/>
  <c r="I379" i="40"/>
  <c r="A380" i="40"/>
  <c r="B380" i="40"/>
  <c r="C380" i="40"/>
  <c r="D380" i="40"/>
  <c r="E380" i="40"/>
  <c r="F380" i="40"/>
  <c r="G380" i="40"/>
  <c r="K380" i="40" s="1"/>
  <c r="H380" i="40"/>
  <c r="L380" i="40" s="1"/>
  <c r="I380" i="40"/>
  <c r="J380" i="40"/>
  <c r="A381" i="40"/>
  <c r="B381" i="40"/>
  <c r="C381" i="40"/>
  <c r="E381" i="40"/>
  <c r="F381" i="40"/>
  <c r="G381" i="40"/>
  <c r="H381" i="40"/>
  <c r="I381" i="40"/>
  <c r="A382" i="40"/>
  <c r="B382" i="40"/>
  <c r="C382" i="40"/>
  <c r="D382" i="40"/>
  <c r="E382" i="40"/>
  <c r="F382" i="40"/>
  <c r="G382" i="40"/>
  <c r="H382" i="40"/>
  <c r="I382" i="40"/>
  <c r="J382" i="40"/>
  <c r="L382" i="40" s="1"/>
  <c r="A383" i="40"/>
  <c r="B383" i="40"/>
  <c r="C383" i="40"/>
  <c r="E383" i="40"/>
  <c r="F383" i="40"/>
  <c r="G383" i="40"/>
  <c r="H383" i="40"/>
  <c r="I383" i="40"/>
  <c r="A384" i="40"/>
  <c r="B384" i="40"/>
  <c r="C384" i="40"/>
  <c r="E384" i="40"/>
  <c r="F384" i="40"/>
  <c r="G384" i="40"/>
  <c r="H384" i="40"/>
  <c r="I384" i="40"/>
  <c r="A385" i="40"/>
  <c r="B385" i="40"/>
  <c r="C385" i="40"/>
  <c r="E385" i="40"/>
  <c r="F385" i="40"/>
  <c r="G385" i="40"/>
  <c r="H385" i="40"/>
  <c r="I385" i="40"/>
  <c r="A386" i="40"/>
  <c r="B386" i="40"/>
  <c r="C386" i="40"/>
  <c r="E386" i="40"/>
  <c r="F386" i="40"/>
  <c r="G386" i="40"/>
  <c r="H386" i="40"/>
  <c r="I386" i="40"/>
  <c r="A387" i="40"/>
  <c r="B387" i="40"/>
  <c r="C387" i="40"/>
  <c r="E387" i="40"/>
  <c r="F387" i="40"/>
  <c r="G387" i="40"/>
  <c r="H387" i="40"/>
  <c r="I387" i="40"/>
  <c r="A388" i="40"/>
  <c r="B388" i="40"/>
  <c r="C388" i="40"/>
  <c r="E388" i="40"/>
  <c r="F388" i="40"/>
  <c r="G388" i="40"/>
  <c r="H388" i="40"/>
  <c r="I388" i="40"/>
  <c r="A389" i="40"/>
  <c r="B389" i="40"/>
  <c r="C389" i="40"/>
  <c r="D389" i="40"/>
  <c r="E389" i="40"/>
  <c r="F389" i="40"/>
  <c r="G389" i="40"/>
  <c r="H389" i="40"/>
  <c r="I389" i="40"/>
  <c r="J389" i="40"/>
  <c r="A390" i="40"/>
  <c r="B390" i="40"/>
  <c r="C390" i="40"/>
  <c r="E390" i="40"/>
  <c r="F390" i="40"/>
  <c r="G390" i="40"/>
  <c r="H390" i="40"/>
  <c r="I390" i="40"/>
  <c r="A391" i="40"/>
  <c r="B391" i="40"/>
  <c r="C391" i="40"/>
  <c r="E391" i="40"/>
  <c r="F391" i="40"/>
  <c r="G391" i="40"/>
  <c r="H391" i="40"/>
  <c r="I391" i="40"/>
  <c r="A392" i="40"/>
  <c r="B392" i="40"/>
  <c r="C392" i="40"/>
  <c r="D392" i="40"/>
  <c r="E392" i="40"/>
  <c r="F392" i="40"/>
  <c r="G392" i="40"/>
  <c r="Q392" i="40" s="1"/>
  <c r="H392" i="40"/>
  <c r="I392" i="40"/>
  <c r="J392" i="40"/>
  <c r="A393" i="40"/>
  <c r="B393" i="40"/>
  <c r="C393" i="40"/>
  <c r="E393" i="40"/>
  <c r="F393" i="40"/>
  <c r="G393" i="40"/>
  <c r="H393" i="40"/>
  <c r="I393" i="40"/>
  <c r="A394" i="40"/>
  <c r="B394" i="40"/>
  <c r="C394" i="40"/>
  <c r="E394" i="40"/>
  <c r="F394" i="40"/>
  <c r="G394" i="40"/>
  <c r="H394" i="40"/>
  <c r="I394" i="40"/>
  <c r="A395" i="40"/>
  <c r="B395" i="40"/>
  <c r="C395" i="40"/>
  <c r="E395" i="40"/>
  <c r="F395" i="40"/>
  <c r="G395" i="40"/>
  <c r="H395" i="40"/>
  <c r="I395" i="40"/>
  <c r="A396" i="40"/>
  <c r="B396" i="40"/>
  <c r="C396" i="40"/>
  <c r="E396" i="40"/>
  <c r="F396" i="40"/>
  <c r="G396" i="40"/>
  <c r="H396" i="40"/>
  <c r="I396" i="40"/>
  <c r="A397" i="40"/>
  <c r="B397" i="40"/>
  <c r="C397" i="40"/>
  <c r="E397" i="40"/>
  <c r="F397" i="40"/>
  <c r="G397" i="40"/>
  <c r="H397" i="40"/>
  <c r="I397" i="40"/>
  <c r="A398" i="40"/>
  <c r="B398" i="40"/>
  <c r="C398" i="40"/>
  <c r="E398" i="40"/>
  <c r="F398" i="40"/>
  <c r="G398" i="40"/>
  <c r="H398" i="40"/>
  <c r="I398" i="40"/>
  <c r="A399" i="40"/>
  <c r="B399" i="40"/>
  <c r="C399" i="40"/>
  <c r="E399" i="40"/>
  <c r="F399" i="40"/>
  <c r="G399" i="40"/>
  <c r="H399" i="40"/>
  <c r="I399" i="40"/>
  <c r="A400" i="40"/>
  <c r="B400" i="40"/>
  <c r="C400" i="40"/>
  <c r="E400" i="40"/>
  <c r="F400" i="40"/>
  <c r="G400" i="40"/>
  <c r="H400" i="40"/>
  <c r="I400" i="40"/>
  <c r="A401" i="40"/>
  <c r="B401" i="40"/>
  <c r="C401" i="40"/>
  <c r="E401" i="40"/>
  <c r="F401" i="40"/>
  <c r="G401" i="40"/>
  <c r="H401" i="40"/>
  <c r="I401" i="40"/>
  <c r="A402" i="40"/>
  <c r="B402" i="40"/>
  <c r="C402" i="40"/>
  <c r="E402" i="40"/>
  <c r="F402" i="40"/>
  <c r="G402" i="40"/>
  <c r="H402" i="40"/>
  <c r="I402" i="40"/>
  <c r="A403" i="40"/>
  <c r="B403" i="40"/>
  <c r="C403" i="40"/>
  <c r="E403" i="40"/>
  <c r="F403" i="40"/>
  <c r="G403" i="40"/>
  <c r="H403" i="40"/>
  <c r="I403" i="40"/>
  <c r="A404" i="40"/>
  <c r="B404" i="40"/>
  <c r="C404" i="40"/>
  <c r="E404" i="40"/>
  <c r="F404" i="40"/>
  <c r="G404" i="40"/>
  <c r="H404" i="40"/>
  <c r="I404" i="40"/>
  <c r="A405" i="40"/>
  <c r="B405" i="40"/>
  <c r="C405" i="40"/>
  <c r="E405" i="40"/>
  <c r="F405" i="40"/>
  <c r="G405" i="40"/>
  <c r="H405" i="40"/>
  <c r="I405" i="40"/>
  <c r="A406" i="40"/>
  <c r="B406" i="40"/>
  <c r="C406" i="40"/>
  <c r="E406" i="40"/>
  <c r="F406" i="40"/>
  <c r="G406" i="40"/>
  <c r="H406" i="40"/>
  <c r="I406" i="40"/>
  <c r="A407" i="40"/>
  <c r="B407" i="40"/>
  <c r="C407" i="40"/>
  <c r="E407" i="40"/>
  <c r="F407" i="40"/>
  <c r="G407" i="40"/>
  <c r="H407" i="40"/>
  <c r="I407" i="40"/>
  <c r="A408" i="40"/>
  <c r="B408" i="40"/>
  <c r="C408" i="40"/>
  <c r="D408" i="40"/>
  <c r="E408" i="40"/>
  <c r="F408" i="40"/>
  <c r="G408" i="40"/>
  <c r="H408" i="40"/>
  <c r="I408" i="40"/>
  <c r="A409" i="40"/>
  <c r="B409" i="40"/>
  <c r="C409" i="40"/>
  <c r="E409" i="40"/>
  <c r="F409" i="40"/>
  <c r="G409" i="40"/>
  <c r="H409" i="40"/>
  <c r="I409" i="40"/>
  <c r="A410" i="40"/>
  <c r="A473" i="52" s="1"/>
  <c r="B410" i="40"/>
  <c r="B473" i="52"/>
  <c r="C410" i="40"/>
  <c r="E410" i="40"/>
  <c r="F410" i="40"/>
  <c r="G410" i="40"/>
  <c r="H410" i="40"/>
  <c r="I410" i="40"/>
  <c r="J410" i="40"/>
  <c r="A411" i="40"/>
  <c r="B411" i="40"/>
  <c r="A412" i="40"/>
  <c r="A474" i="52" s="1"/>
  <c r="B412" i="40"/>
  <c r="B474" i="52" s="1"/>
  <c r="A413" i="40"/>
  <c r="A475" i="52"/>
  <c r="B413" i="40"/>
  <c r="B475" i="52"/>
  <c r="A418" i="40"/>
  <c r="A492" i="52"/>
  <c r="B418" i="40"/>
  <c r="A419" i="40"/>
  <c r="B419" i="40"/>
  <c r="C419" i="40"/>
  <c r="E419" i="40"/>
  <c r="F419" i="40"/>
  <c r="A420" i="40"/>
  <c r="B420" i="40"/>
  <c r="C420" i="40"/>
  <c r="E420" i="40"/>
  <c r="F420" i="40"/>
  <c r="G420" i="40"/>
  <c r="H420" i="40"/>
  <c r="I420" i="40"/>
  <c r="A421" i="40"/>
  <c r="B421" i="40"/>
  <c r="C421" i="40"/>
  <c r="E421" i="40"/>
  <c r="F421" i="40"/>
  <c r="G421" i="40"/>
  <c r="H421" i="40"/>
  <c r="I421" i="40"/>
  <c r="A422" i="40"/>
  <c r="B422" i="40"/>
  <c r="C422" i="40"/>
  <c r="E422" i="40"/>
  <c r="F422" i="40"/>
  <c r="G422" i="40"/>
  <c r="H422" i="40"/>
  <c r="I422" i="40"/>
  <c r="A423" i="40"/>
  <c r="B423" i="40"/>
  <c r="C423" i="40"/>
  <c r="E423" i="40"/>
  <c r="F423" i="40"/>
  <c r="G423" i="40"/>
  <c r="H423" i="40"/>
  <c r="I423" i="40"/>
  <c r="A424" i="40"/>
  <c r="B424" i="40"/>
  <c r="C424" i="40"/>
  <c r="E424" i="40"/>
  <c r="F424" i="40"/>
  <c r="G424" i="40"/>
  <c r="H424" i="40"/>
  <c r="I424" i="40"/>
  <c r="A425" i="40"/>
  <c r="B425" i="40"/>
  <c r="C425" i="40"/>
  <c r="E425" i="40"/>
  <c r="F425" i="40"/>
  <c r="G425" i="40"/>
  <c r="H425" i="40"/>
  <c r="I425" i="40"/>
  <c r="A426" i="40"/>
  <c r="B426" i="40"/>
  <c r="C426" i="40"/>
  <c r="E426" i="40"/>
  <c r="F426" i="40"/>
  <c r="G426" i="40"/>
  <c r="H426" i="40"/>
  <c r="I426" i="40"/>
  <c r="A427" i="40"/>
  <c r="B427" i="40"/>
  <c r="C427" i="40"/>
  <c r="E427" i="40"/>
  <c r="F427" i="40"/>
  <c r="G427" i="40"/>
  <c r="H427" i="40"/>
  <c r="I427" i="40"/>
  <c r="A428" i="40"/>
  <c r="B428" i="40"/>
  <c r="C428" i="40"/>
  <c r="E428" i="40"/>
  <c r="F428" i="40"/>
  <c r="G428" i="40"/>
  <c r="H428" i="40"/>
  <c r="I428" i="40"/>
  <c r="A429" i="40"/>
  <c r="B429" i="40"/>
  <c r="C429" i="40"/>
  <c r="D429" i="40"/>
  <c r="E429" i="40"/>
  <c r="F429" i="40"/>
  <c r="G429" i="40"/>
  <c r="H429" i="40"/>
  <c r="I429" i="40"/>
  <c r="J429" i="40"/>
  <c r="K429" i="40" s="1"/>
  <c r="A430" i="40"/>
  <c r="B430" i="40"/>
  <c r="C430" i="40"/>
  <c r="E430" i="40"/>
  <c r="F430" i="40"/>
  <c r="G430" i="40"/>
  <c r="H430" i="40"/>
  <c r="I430" i="40"/>
  <c r="A431" i="40"/>
  <c r="B431" i="40"/>
  <c r="C431" i="40"/>
  <c r="E431" i="40"/>
  <c r="F431" i="40"/>
  <c r="G431" i="40"/>
  <c r="H431" i="40"/>
  <c r="I431" i="40"/>
  <c r="S431" i="40" s="1"/>
  <c r="A432" i="40"/>
  <c r="B432" i="40"/>
  <c r="C432" i="40"/>
  <c r="E432" i="40"/>
  <c r="F432" i="40"/>
  <c r="G432" i="40"/>
  <c r="H432" i="40"/>
  <c r="I432" i="40"/>
  <c r="A433" i="40"/>
  <c r="B433" i="40"/>
  <c r="C433" i="40"/>
  <c r="E433" i="40"/>
  <c r="F433" i="40"/>
  <c r="G433" i="40"/>
  <c r="H433" i="40"/>
  <c r="I433" i="40"/>
  <c r="A434" i="40"/>
  <c r="B434" i="40"/>
  <c r="C434" i="40"/>
  <c r="E434" i="40"/>
  <c r="F434" i="40"/>
  <c r="G434" i="40"/>
  <c r="H434" i="40"/>
  <c r="I434" i="40"/>
  <c r="A435" i="40"/>
  <c r="B435" i="40"/>
  <c r="C435" i="40"/>
  <c r="E435" i="40"/>
  <c r="F435" i="40"/>
  <c r="G435" i="40"/>
  <c r="H435" i="40"/>
  <c r="I435" i="40"/>
  <c r="A436" i="40"/>
  <c r="B436" i="40"/>
  <c r="C436" i="40"/>
  <c r="E436" i="40"/>
  <c r="F436" i="40"/>
  <c r="G436" i="40"/>
  <c r="H436" i="40"/>
  <c r="I436" i="40"/>
  <c r="A437" i="40"/>
  <c r="B437" i="40"/>
  <c r="C437" i="40"/>
  <c r="E437" i="40"/>
  <c r="F437" i="40"/>
  <c r="G437" i="40"/>
  <c r="H437" i="40"/>
  <c r="I437" i="40"/>
  <c r="A438" i="40"/>
  <c r="B438" i="40"/>
  <c r="C438" i="40"/>
  <c r="E438" i="40"/>
  <c r="F438" i="40"/>
  <c r="G438" i="40"/>
  <c r="H438" i="40"/>
  <c r="I438" i="40"/>
  <c r="A439" i="40"/>
  <c r="B439" i="40"/>
  <c r="C439" i="40"/>
  <c r="E439" i="40"/>
  <c r="F439" i="40"/>
  <c r="G439" i="40"/>
  <c r="H439" i="40"/>
  <c r="I439" i="40"/>
  <c r="A440" i="40"/>
  <c r="B440" i="40"/>
  <c r="C440" i="40"/>
  <c r="E440" i="40"/>
  <c r="F440" i="40"/>
  <c r="G440" i="40"/>
  <c r="H440" i="40"/>
  <c r="I440" i="40"/>
  <c r="A441" i="40"/>
  <c r="B441" i="40"/>
  <c r="C441" i="40"/>
  <c r="E441" i="40"/>
  <c r="F441" i="40"/>
  <c r="G441" i="40"/>
  <c r="H441" i="40"/>
  <c r="I441" i="40"/>
  <c r="A442" i="40"/>
  <c r="B442" i="40"/>
  <c r="C442" i="40"/>
  <c r="E442" i="40"/>
  <c r="F442" i="40"/>
  <c r="G442" i="40"/>
  <c r="H442" i="40"/>
  <c r="I442" i="40"/>
  <c r="A443" i="40"/>
  <c r="B443" i="40"/>
  <c r="C443" i="40"/>
  <c r="E443" i="40"/>
  <c r="F443" i="40"/>
  <c r="G443" i="40"/>
  <c r="H443" i="40"/>
  <c r="I443" i="40"/>
  <c r="A444" i="40"/>
  <c r="B444" i="40"/>
  <c r="C444" i="40"/>
  <c r="E444" i="40"/>
  <c r="F444" i="40"/>
  <c r="G444" i="40"/>
  <c r="H444" i="40"/>
  <c r="I444" i="40"/>
  <c r="A445" i="40"/>
  <c r="B445" i="40"/>
  <c r="C445" i="40"/>
  <c r="E445" i="40"/>
  <c r="F445" i="40"/>
  <c r="G445" i="40"/>
  <c r="H445" i="40"/>
  <c r="I445" i="40"/>
  <c r="A446" i="40"/>
  <c r="B446" i="40"/>
  <c r="C446" i="40"/>
  <c r="E446" i="40"/>
  <c r="F446" i="40"/>
  <c r="G446" i="40"/>
  <c r="H446" i="40"/>
  <c r="I446" i="40"/>
  <c r="A447" i="40"/>
  <c r="B447" i="40"/>
  <c r="C447" i="40"/>
  <c r="E447" i="40"/>
  <c r="F447" i="40"/>
  <c r="G447" i="40"/>
  <c r="H447" i="40"/>
  <c r="I447" i="40"/>
  <c r="A448" i="40"/>
  <c r="B448" i="40"/>
  <c r="C448" i="40"/>
  <c r="E448" i="40"/>
  <c r="F448" i="40"/>
  <c r="G448" i="40"/>
  <c r="H448" i="40"/>
  <c r="I448" i="40"/>
  <c r="A449" i="40"/>
  <c r="B449" i="40"/>
  <c r="C449" i="40"/>
  <c r="D449" i="40"/>
  <c r="E449" i="40"/>
  <c r="F449" i="40"/>
  <c r="G449" i="40"/>
  <c r="K449" i="40" s="1"/>
  <c r="H449" i="40"/>
  <c r="I449" i="40"/>
  <c r="J449" i="40"/>
  <c r="A450" i="40"/>
  <c r="B450" i="40"/>
  <c r="C450" i="40"/>
  <c r="E450" i="40"/>
  <c r="F450" i="40"/>
  <c r="G450" i="40"/>
  <c r="H450" i="40"/>
  <c r="I450" i="40"/>
  <c r="A451" i="40"/>
  <c r="B451" i="40"/>
  <c r="C451" i="40"/>
  <c r="E451" i="40"/>
  <c r="F451" i="40"/>
  <c r="G451" i="40"/>
  <c r="H451" i="40"/>
  <c r="I451" i="40"/>
  <c r="A452" i="40"/>
  <c r="B452" i="40"/>
  <c r="C452" i="40"/>
  <c r="E452" i="40"/>
  <c r="F452" i="40"/>
  <c r="G452" i="40"/>
  <c r="H452" i="40"/>
  <c r="I452" i="40"/>
  <c r="A453" i="40"/>
  <c r="B453" i="40"/>
  <c r="C453" i="40"/>
  <c r="E453" i="40"/>
  <c r="F453" i="40"/>
  <c r="G453" i="40"/>
  <c r="H453" i="40"/>
  <c r="I453" i="40"/>
  <c r="A454" i="40"/>
  <c r="B454" i="40"/>
  <c r="C454" i="40"/>
  <c r="E454" i="40"/>
  <c r="F454" i="40"/>
  <c r="G454" i="40"/>
  <c r="H454" i="40"/>
  <c r="I454" i="40"/>
  <c r="A455" i="40"/>
  <c r="B455" i="40"/>
  <c r="C455" i="40"/>
  <c r="E455" i="40"/>
  <c r="F455" i="40"/>
  <c r="G455" i="40"/>
  <c r="H455" i="40"/>
  <c r="I455" i="40"/>
  <c r="A456" i="40"/>
  <c r="B456" i="40"/>
  <c r="C456" i="40"/>
  <c r="E456" i="40"/>
  <c r="F456" i="40"/>
  <c r="G456" i="40"/>
  <c r="H456" i="40"/>
  <c r="I456" i="40"/>
  <c r="A457" i="40"/>
  <c r="B457" i="40"/>
  <c r="C457" i="40"/>
  <c r="E457" i="40"/>
  <c r="F457" i="40"/>
  <c r="G457" i="40"/>
  <c r="H457" i="40"/>
  <c r="I457" i="40"/>
  <c r="A458" i="40"/>
  <c r="B458" i="40"/>
  <c r="C458" i="40"/>
  <c r="E458" i="40"/>
  <c r="F458" i="40"/>
  <c r="G458" i="40"/>
  <c r="H458" i="40"/>
  <c r="I458" i="40"/>
  <c r="A459" i="40"/>
  <c r="B459" i="40"/>
  <c r="C459" i="40"/>
  <c r="E459" i="40"/>
  <c r="F459" i="40"/>
  <c r="G459" i="40"/>
  <c r="H459" i="40"/>
  <c r="I459" i="40"/>
  <c r="A460" i="40"/>
  <c r="B460" i="40"/>
  <c r="C460" i="40"/>
  <c r="E460" i="40"/>
  <c r="F460" i="40"/>
  <c r="G460" i="40"/>
  <c r="H460" i="40"/>
  <c r="I460" i="40"/>
  <c r="A461" i="40"/>
  <c r="B461" i="40"/>
  <c r="C461" i="40"/>
  <c r="E461" i="40"/>
  <c r="F461" i="40"/>
  <c r="G461" i="40"/>
  <c r="H461" i="40"/>
  <c r="I461" i="40"/>
  <c r="A462" i="40"/>
  <c r="B462" i="40"/>
  <c r="C462" i="40"/>
  <c r="E462" i="40"/>
  <c r="F462" i="40"/>
  <c r="G462" i="40"/>
  <c r="H462" i="40"/>
  <c r="I462" i="40"/>
  <c r="A463" i="40"/>
  <c r="B463" i="40"/>
  <c r="C463" i="40"/>
  <c r="E463" i="40"/>
  <c r="F463" i="40"/>
  <c r="G463" i="40"/>
  <c r="H463" i="40"/>
  <c r="I463" i="40"/>
  <c r="A464" i="40"/>
  <c r="B464" i="40"/>
  <c r="C464" i="40"/>
  <c r="E464" i="40"/>
  <c r="F464" i="40"/>
  <c r="G464" i="40"/>
  <c r="H464" i="40"/>
  <c r="I464" i="40"/>
  <c r="A465" i="40"/>
  <c r="B465" i="40"/>
  <c r="C465" i="40"/>
  <c r="E465" i="40"/>
  <c r="F465" i="40"/>
  <c r="G465" i="40"/>
  <c r="H465" i="40"/>
  <c r="I465" i="40"/>
  <c r="A466" i="40"/>
  <c r="B466" i="40"/>
  <c r="C466" i="40"/>
  <c r="E466" i="40"/>
  <c r="F466" i="40"/>
  <c r="G466" i="40"/>
  <c r="H466" i="40"/>
  <c r="I466" i="40"/>
  <c r="A467" i="40"/>
  <c r="A496" i="52" s="1"/>
  <c r="B467" i="40"/>
  <c r="C467" i="40"/>
  <c r="D467" i="40"/>
  <c r="E467" i="40"/>
  <c r="F467" i="40"/>
  <c r="G467" i="40"/>
  <c r="H467" i="40"/>
  <c r="I467" i="40"/>
  <c r="A468" i="40"/>
  <c r="B468" i="40"/>
  <c r="C468" i="40"/>
  <c r="D468" i="40"/>
  <c r="E468" i="40"/>
  <c r="F468" i="40"/>
  <c r="G468" i="40"/>
  <c r="H468" i="40"/>
  <c r="I468" i="40"/>
  <c r="M468" i="40" s="1"/>
  <c r="A469" i="40"/>
  <c r="A498" i="52" s="1"/>
  <c r="A533" i="52" s="1"/>
  <c r="B469" i="40"/>
  <c r="B498" i="52" s="1"/>
  <c r="B533" i="52" s="1"/>
  <c r="C469" i="40"/>
  <c r="C498" i="52" s="1"/>
  <c r="C533" i="52" s="1"/>
  <c r="E469" i="40"/>
  <c r="D498" i="52" s="1"/>
  <c r="D533" i="52" s="1"/>
  <c r="F469" i="40"/>
  <c r="G469" i="40"/>
  <c r="H469" i="40"/>
  <c r="I469" i="40"/>
  <c r="J469" i="40"/>
  <c r="A470" i="40"/>
  <c r="B470" i="40"/>
  <c r="A471" i="40"/>
  <c r="B471" i="40"/>
  <c r="B499" i="52" s="1"/>
  <c r="B534" i="52" s="1"/>
  <c r="A475" i="40"/>
  <c r="B475" i="40"/>
  <c r="A476" i="40"/>
  <c r="A709" i="52" s="1"/>
  <c r="B476" i="40"/>
  <c r="C476" i="40"/>
  <c r="E476" i="40"/>
  <c r="F476" i="40"/>
  <c r="A477" i="40"/>
  <c r="B477" i="40"/>
  <c r="C477" i="40"/>
  <c r="E477" i="40"/>
  <c r="F477" i="40"/>
  <c r="G477" i="40"/>
  <c r="H477" i="40"/>
  <c r="I477" i="40"/>
  <c r="A478" i="40"/>
  <c r="B478" i="40"/>
  <c r="C478" i="40"/>
  <c r="E478" i="40"/>
  <c r="F478" i="40"/>
  <c r="G478" i="40"/>
  <c r="H478" i="40"/>
  <c r="I478" i="40"/>
  <c r="A479" i="40"/>
  <c r="B479" i="40"/>
  <c r="C479" i="40"/>
  <c r="E479" i="40"/>
  <c r="F479" i="40"/>
  <c r="G479" i="40"/>
  <c r="H479" i="40"/>
  <c r="I479" i="40"/>
  <c r="A480" i="40"/>
  <c r="B480" i="40"/>
  <c r="C480" i="40"/>
  <c r="E480" i="40"/>
  <c r="F480" i="40"/>
  <c r="G480" i="40"/>
  <c r="H480" i="40"/>
  <c r="I480" i="40"/>
  <c r="A481" i="40"/>
  <c r="B481" i="40"/>
  <c r="C481" i="40"/>
  <c r="E481" i="40"/>
  <c r="F481" i="40"/>
  <c r="G481" i="40"/>
  <c r="H481" i="40"/>
  <c r="I481" i="40"/>
  <c r="A482" i="40"/>
  <c r="B482" i="40"/>
  <c r="C482" i="40"/>
  <c r="E482" i="40"/>
  <c r="F482" i="40"/>
  <c r="G482" i="40"/>
  <c r="H482" i="40"/>
  <c r="I482" i="40"/>
  <c r="A483" i="40"/>
  <c r="B483" i="40"/>
  <c r="C483" i="40"/>
  <c r="E483" i="40"/>
  <c r="F483" i="40"/>
  <c r="G483" i="40"/>
  <c r="H483" i="40"/>
  <c r="I483" i="40"/>
  <c r="A484" i="40"/>
  <c r="B484" i="40"/>
  <c r="C484" i="40"/>
  <c r="E484" i="40"/>
  <c r="F484" i="40"/>
  <c r="G484" i="40"/>
  <c r="H484" i="40"/>
  <c r="I484" i="40"/>
  <c r="A485" i="40"/>
  <c r="B485" i="40"/>
  <c r="C485" i="40"/>
  <c r="E485" i="40"/>
  <c r="F485" i="40"/>
  <c r="G485" i="40"/>
  <c r="H485" i="40"/>
  <c r="I485" i="40"/>
  <c r="A486" i="40"/>
  <c r="B486" i="40"/>
  <c r="C486" i="40"/>
  <c r="D486" i="40"/>
  <c r="E486" i="40"/>
  <c r="F486" i="40"/>
  <c r="G486" i="40"/>
  <c r="H486" i="40"/>
  <c r="I486" i="40"/>
  <c r="J486" i="40"/>
  <c r="K486" i="40" s="1"/>
  <c r="A487" i="40"/>
  <c r="B487" i="40"/>
  <c r="C487" i="40"/>
  <c r="E487" i="40"/>
  <c r="F487" i="40"/>
  <c r="G487" i="40"/>
  <c r="H487" i="40"/>
  <c r="I487" i="40"/>
  <c r="A488" i="40"/>
  <c r="B488" i="40"/>
  <c r="C488" i="40"/>
  <c r="E488" i="40"/>
  <c r="F488" i="40"/>
  <c r="G488" i="40"/>
  <c r="H488" i="40"/>
  <c r="I488" i="40"/>
  <c r="A489" i="40"/>
  <c r="B489" i="40"/>
  <c r="C489" i="40"/>
  <c r="E489" i="40"/>
  <c r="F489" i="40"/>
  <c r="G489" i="40"/>
  <c r="H489" i="40"/>
  <c r="I489" i="40"/>
  <c r="A490" i="40"/>
  <c r="B490" i="40"/>
  <c r="C490" i="40"/>
  <c r="E490" i="40"/>
  <c r="F490" i="40"/>
  <c r="G490" i="40"/>
  <c r="H490" i="40"/>
  <c r="I490" i="40"/>
  <c r="A491" i="40"/>
  <c r="B491" i="40"/>
  <c r="C491" i="40"/>
  <c r="E491" i="40"/>
  <c r="F491" i="40"/>
  <c r="G491" i="40"/>
  <c r="H491" i="40"/>
  <c r="I491" i="40"/>
  <c r="A492" i="40"/>
  <c r="B492" i="40"/>
  <c r="C492" i="40"/>
  <c r="E492" i="40"/>
  <c r="F492" i="40"/>
  <c r="G492" i="40"/>
  <c r="H492" i="40"/>
  <c r="I492" i="40"/>
  <c r="A493" i="40"/>
  <c r="B493" i="40"/>
  <c r="C493" i="40"/>
  <c r="E493" i="40"/>
  <c r="F493" i="40"/>
  <c r="G493" i="40"/>
  <c r="H493" i="40"/>
  <c r="I493" i="40"/>
  <c r="A494" i="40"/>
  <c r="B494" i="40"/>
  <c r="C494" i="40"/>
  <c r="E494" i="40"/>
  <c r="F494" i="40"/>
  <c r="G494" i="40"/>
  <c r="H494" i="40"/>
  <c r="I494" i="40"/>
  <c r="A495" i="40"/>
  <c r="B495" i="40"/>
  <c r="C495" i="40"/>
  <c r="E495" i="40"/>
  <c r="F495" i="40"/>
  <c r="G495" i="40"/>
  <c r="H495" i="40"/>
  <c r="I495" i="40"/>
  <c r="A496" i="40"/>
  <c r="B496" i="40"/>
  <c r="C496" i="40"/>
  <c r="E496" i="40"/>
  <c r="F496" i="40"/>
  <c r="G496" i="40"/>
  <c r="H496" i="40"/>
  <c r="I496" i="40"/>
  <c r="A497" i="40"/>
  <c r="B497" i="40"/>
  <c r="C497" i="40"/>
  <c r="E497" i="40"/>
  <c r="F497" i="40"/>
  <c r="G497" i="40"/>
  <c r="H497" i="40"/>
  <c r="I497" i="40"/>
  <c r="A498" i="40"/>
  <c r="B498" i="40"/>
  <c r="C498" i="40"/>
  <c r="E498" i="40"/>
  <c r="F498" i="40"/>
  <c r="G498" i="40"/>
  <c r="H498" i="40"/>
  <c r="I498" i="40"/>
  <c r="A499" i="40"/>
  <c r="B499" i="40"/>
  <c r="C499" i="40"/>
  <c r="E499" i="40"/>
  <c r="F499" i="40"/>
  <c r="G499" i="40"/>
  <c r="H499" i="40"/>
  <c r="I499" i="40"/>
  <c r="A500" i="40"/>
  <c r="B500" i="40"/>
  <c r="C500" i="40"/>
  <c r="E500" i="40"/>
  <c r="F500" i="40"/>
  <c r="G500" i="40"/>
  <c r="H500" i="40"/>
  <c r="I500" i="40"/>
  <c r="A501" i="40"/>
  <c r="B501" i="40"/>
  <c r="C501" i="40"/>
  <c r="D501" i="40"/>
  <c r="E501" i="40"/>
  <c r="F501" i="40"/>
  <c r="G501" i="40"/>
  <c r="K501" i="40" s="1"/>
  <c r="H501" i="40"/>
  <c r="L501" i="40" s="1"/>
  <c r="I501" i="40"/>
  <c r="J501" i="40"/>
  <c r="A502" i="40"/>
  <c r="B502" i="40"/>
  <c r="C502" i="40"/>
  <c r="E502" i="40"/>
  <c r="F502" i="40"/>
  <c r="G502" i="40"/>
  <c r="H502" i="40"/>
  <c r="I502" i="40"/>
  <c r="A503" i="40"/>
  <c r="B503" i="40"/>
  <c r="C503" i="40"/>
  <c r="E503" i="40"/>
  <c r="F503" i="40"/>
  <c r="G503" i="40"/>
  <c r="H503" i="40"/>
  <c r="I503" i="40"/>
  <c r="A504" i="40"/>
  <c r="B504" i="40"/>
  <c r="C504" i="40"/>
  <c r="E504" i="40"/>
  <c r="F504" i="40"/>
  <c r="G504" i="40"/>
  <c r="H504" i="40"/>
  <c r="I504" i="40"/>
  <c r="A505" i="40"/>
  <c r="B505" i="40"/>
  <c r="C505" i="40"/>
  <c r="E505" i="40"/>
  <c r="F505" i="40"/>
  <c r="G505" i="40"/>
  <c r="H505" i="40"/>
  <c r="I505" i="40"/>
  <c r="A506" i="40"/>
  <c r="B506" i="40"/>
  <c r="C506" i="40"/>
  <c r="E506" i="40"/>
  <c r="F506" i="40"/>
  <c r="G506" i="40"/>
  <c r="H506" i="40"/>
  <c r="I506" i="40"/>
  <c r="A507" i="40"/>
  <c r="B507" i="40"/>
  <c r="C507" i="40"/>
  <c r="E507" i="40"/>
  <c r="F507" i="40"/>
  <c r="G507" i="40"/>
  <c r="H507" i="40"/>
  <c r="I507" i="40"/>
  <c r="A508" i="40"/>
  <c r="B508" i="40"/>
  <c r="C508" i="40"/>
  <c r="E508" i="40"/>
  <c r="F508" i="40"/>
  <c r="G508" i="40"/>
  <c r="H508" i="40"/>
  <c r="I508" i="40"/>
  <c r="A509" i="40"/>
  <c r="B509" i="40"/>
  <c r="C509" i="40"/>
  <c r="E509" i="40"/>
  <c r="F509" i="40"/>
  <c r="G509" i="40"/>
  <c r="H509" i="40"/>
  <c r="I509" i="40"/>
  <c r="A510" i="40"/>
  <c r="B510" i="40"/>
  <c r="C510" i="40"/>
  <c r="E510" i="40"/>
  <c r="F510" i="40"/>
  <c r="G510" i="40"/>
  <c r="H510" i="40"/>
  <c r="I510" i="40"/>
  <c r="A511" i="40"/>
  <c r="B511" i="40"/>
  <c r="C511" i="40"/>
  <c r="E511" i="40"/>
  <c r="F511" i="40"/>
  <c r="G511" i="40"/>
  <c r="H511" i="40"/>
  <c r="I511" i="40"/>
  <c r="A512" i="40"/>
  <c r="B512" i="40"/>
  <c r="C512" i="40"/>
  <c r="E512" i="40"/>
  <c r="F512" i="40"/>
  <c r="G512" i="40"/>
  <c r="H512" i="40"/>
  <c r="I512" i="40"/>
  <c r="A513" i="40"/>
  <c r="B513" i="40"/>
  <c r="C513" i="40"/>
  <c r="E513" i="40"/>
  <c r="F513" i="40"/>
  <c r="G513" i="40"/>
  <c r="H513" i="40"/>
  <c r="I513" i="40"/>
  <c r="A514" i="40"/>
  <c r="B514" i="40"/>
  <c r="C514" i="40"/>
  <c r="E514" i="40"/>
  <c r="F514" i="40"/>
  <c r="G514" i="40"/>
  <c r="H514" i="40"/>
  <c r="I514" i="40"/>
  <c r="A515" i="40"/>
  <c r="B515" i="40"/>
  <c r="C515" i="40"/>
  <c r="E515" i="40"/>
  <c r="F515" i="40"/>
  <c r="G515" i="40"/>
  <c r="H515" i="40"/>
  <c r="I515" i="40"/>
  <c r="A516" i="40"/>
  <c r="B516" i="40"/>
  <c r="C516" i="40"/>
  <c r="E516" i="40"/>
  <c r="F516" i="40"/>
  <c r="G516" i="40"/>
  <c r="H516" i="40"/>
  <c r="I516" i="40"/>
  <c r="A517" i="40"/>
  <c r="B517" i="40"/>
  <c r="C517" i="40"/>
  <c r="E517" i="40"/>
  <c r="F517" i="40"/>
  <c r="G517" i="40"/>
  <c r="H517" i="40"/>
  <c r="I517" i="40"/>
  <c r="A518" i="40"/>
  <c r="B78" i="17" s="1"/>
  <c r="B518" i="40"/>
  <c r="C518" i="40"/>
  <c r="D518" i="40"/>
  <c r="E518" i="40"/>
  <c r="F518" i="40"/>
  <c r="G518" i="40"/>
  <c r="H518" i="40"/>
  <c r="I518" i="40"/>
  <c r="A519" i="40"/>
  <c r="B519" i="40"/>
  <c r="C519" i="40"/>
  <c r="E519" i="40"/>
  <c r="F519" i="40"/>
  <c r="G519" i="40"/>
  <c r="H519" i="40"/>
  <c r="I519" i="40"/>
  <c r="A520" i="40"/>
  <c r="B520" i="40"/>
  <c r="C520" i="40"/>
  <c r="E520" i="40"/>
  <c r="F520" i="40"/>
  <c r="G520" i="40"/>
  <c r="H520" i="40"/>
  <c r="I520" i="40"/>
  <c r="A521" i="40"/>
  <c r="B521" i="40"/>
  <c r="C521" i="40"/>
  <c r="E521" i="40"/>
  <c r="F521" i="40"/>
  <c r="G521" i="40"/>
  <c r="H521" i="40"/>
  <c r="I521" i="40"/>
  <c r="A522" i="40"/>
  <c r="A712" i="52" s="1"/>
  <c r="B522" i="40"/>
  <c r="B712" i="52"/>
  <c r="C522" i="40"/>
  <c r="C712" i="52" s="1"/>
  <c r="E522" i="40"/>
  <c r="D712" i="52" s="1"/>
  <c r="F522" i="40"/>
  <c r="G522" i="40"/>
  <c r="H522" i="40"/>
  <c r="I522" i="40"/>
  <c r="J522" i="40"/>
  <c r="A523" i="40"/>
  <c r="A713" i="52" s="1"/>
  <c r="B523" i="40"/>
  <c r="B713" i="52" s="1"/>
  <c r="A524" i="40"/>
  <c r="A714" i="52" s="1"/>
  <c r="B524" i="40"/>
  <c r="B714" i="52" s="1"/>
  <c r="B525" i="40"/>
  <c r="C525" i="40"/>
  <c r="E525" i="40"/>
  <c r="F525" i="40"/>
  <c r="G525" i="40"/>
  <c r="H525" i="40"/>
  <c r="L525" i="40"/>
  <c r="A528" i="40"/>
  <c r="A809" i="52" s="1"/>
  <c r="B528" i="40"/>
  <c r="C528" i="40"/>
  <c r="E528" i="40"/>
  <c r="F528" i="40"/>
  <c r="G528" i="40"/>
  <c r="L528" i="40"/>
  <c r="A529" i="40"/>
  <c r="B529" i="40"/>
  <c r="C529" i="40"/>
  <c r="E529" i="40"/>
  <c r="F529" i="40"/>
  <c r="A530" i="40"/>
  <c r="B530" i="40"/>
  <c r="C530" i="40"/>
  <c r="E530" i="40"/>
  <c r="F530" i="40"/>
  <c r="A531" i="40"/>
  <c r="B531" i="40"/>
  <c r="C531" i="40"/>
  <c r="E531" i="40"/>
  <c r="F531" i="40"/>
  <c r="A532" i="40"/>
  <c r="B532" i="40"/>
  <c r="C532" i="40"/>
  <c r="E532" i="40"/>
  <c r="F532" i="40"/>
  <c r="A533" i="40"/>
  <c r="B533" i="40"/>
  <c r="C533" i="40"/>
  <c r="E533" i="40"/>
  <c r="F533" i="40"/>
  <c r="A534" i="40"/>
  <c r="B534" i="40"/>
  <c r="C534" i="40"/>
  <c r="E534" i="40"/>
  <c r="F534" i="40"/>
  <c r="A535" i="40"/>
  <c r="B535" i="40"/>
  <c r="C535" i="40"/>
  <c r="E535" i="40"/>
  <c r="F535" i="40"/>
  <c r="A536" i="40"/>
  <c r="B536" i="40"/>
  <c r="C536" i="40"/>
  <c r="E536" i="40"/>
  <c r="F536" i="40"/>
  <c r="G536" i="40"/>
  <c r="H536" i="40"/>
  <c r="L536" i="40"/>
  <c r="B537" i="40"/>
  <c r="C81" i="17" s="1"/>
  <c r="C537" i="40"/>
  <c r="E537" i="40"/>
  <c r="F537" i="40"/>
  <c r="G537" i="40"/>
  <c r="H537" i="40"/>
  <c r="L537" i="40"/>
  <c r="B538" i="40"/>
  <c r="C538" i="40"/>
  <c r="E538" i="40"/>
  <c r="F538" i="40"/>
  <c r="G538" i="40"/>
  <c r="H538" i="40"/>
  <c r="L538" i="40"/>
  <c r="B539" i="40"/>
  <c r="C539" i="40"/>
  <c r="E539" i="40"/>
  <c r="F539" i="40"/>
  <c r="G539" i="40"/>
  <c r="H539" i="40"/>
  <c r="L539" i="40"/>
  <c r="B540" i="40"/>
  <c r="C540" i="40"/>
  <c r="E540" i="40"/>
  <c r="F540" i="40"/>
  <c r="G540" i="40"/>
  <c r="H540" i="40"/>
  <c r="L540" i="40"/>
  <c r="AA7" i="39"/>
  <c r="AA8" i="39"/>
  <c r="AA13" i="39"/>
  <c r="D14" i="50" s="1"/>
  <c r="AA14" i="39"/>
  <c r="AA15" i="39"/>
  <c r="AA16" i="39"/>
  <c r="AA17" i="39"/>
  <c r="AA18" i="39"/>
  <c r="AA19" i="39"/>
  <c r="AA20" i="39"/>
  <c r="D21" i="50" s="1"/>
  <c r="AA21" i="39"/>
  <c r="AA22" i="39"/>
  <c r="AA23" i="39"/>
  <c r="D24" i="40" s="1"/>
  <c r="AA24" i="39"/>
  <c r="D25" i="40" s="1"/>
  <c r="AA25" i="39"/>
  <c r="D26" i="40" s="1"/>
  <c r="AA26" i="39"/>
  <c r="D27" i="40" s="1"/>
  <c r="AA27" i="39"/>
  <c r="D28" i="40" s="1"/>
  <c r="AA28" i="39"/>
  <c r="D29" i="40" s="1"/>
  <c r="AA29" i="39"/>
  <c r="D30" i="40" s="1"/>
  <c r="AA30" i="39"/>
  <c r="AA31" i="39"/>
  <c r="AA32" i="39"/>
  <c r="D26" i="50" s="1"/>
  <c r="AA33" i="39"/>
  <c r="AA34" i="39"/>
  <c r="AA35" i="39"/>
  <c r="AA36" i="39"/>
  <c r="D37" i="40" s="1"/>
  <c r="AA37" i="39"/>
  <c r="D38" i="40" s="1"/>
  <c r="AA38" i="39"/>
  <c r="D39" i="40" s="1"/>
  <c r="AA39" i="39"/>
  <c r="D40" i="40" s="1"/>
  <c r="AA40" i="39"/>
  <c r="D41" i="40" s="1"/>
  <c r="AA41" i="39"/>
  <c r="D42" i="40" s="1"/>
  <c r="AA42" i="39"/>
  <c r="D43" i="40" s="1"/>
  <c r="AA43" i="39"/>
  <c r="D44" i="40" s="1"/>
  <c r="AA44" i="39"/>
  <c r="AA45" i="39"/>
  <c r="AA46" i="39"/>
  <c r="AA47" i="39"/>
  <c r="AA48" i="39"/>
  <c r="AA49" i="39"/>
  <c r="AA50" i="39"/>
  <c r="D37" i="50" s="1"/>
  <c r="AA51" i="39"/>
  <c r="AA52" i="39"/>
  <c r="D53" i="40" s="1"/>
  <c r="AA53" i="39"/>
  <c r="AA54" i="39"/>
  <c r="D40" i="50" s="1"/>
  <c r="AA55" i="39"/>
  <c r="AA56" i="39"/>
  <c r="D43" i="50" s="1"/>
  <c r="AA57" i="39"/>
  <c r="D44" i="50" s="1"/>
  <c r="AA58" i="39"/>
  <c r="D59" i="40" s="1"/>
  <c r="AA59" i="39"/>
  <c r="D60" i="40" s="1"/>
  <c r="AA60" i="39"/>
  <c r="D61" i="40" s="1"/>
  <c r="AA61" i="39"/>
  <c r="AA62" i="39"/>
  <c r="D58" i="50" s="1"/>
  <c r="AA63" i="39"/>
  <c r="AA64" i="39"/>
  <c r="AA65" i="39"/>
  <c r="D61" i="50" s="1"/>
  <c r="AA66" i="39"/>
  <c r="AA67" i="39"/>
  <c r="AA68" i="39"/>
  <c r="D65" i="50" s="1"/>
  <c r="AA69" i="39"/>
  <c r="D66" i="50" s="1"/>
  <c r="AA70" i="39"/>
  <c r="AA71" i="39"/>
  <c r="D68" i="50" s="1"/>
  <c r="AA72" i="39"/>
  <c r="AA73" i="39"/>
  <c r="AA74" i="39"/>
  <c r="D75" i="40" s="1"/>
  <c r="AA75" i="39"/>
  <c r="D76" i="40" s="1"/>
  <c r="AA76" i="39"/>
  <c r="D72" i="50" s="1"/>
  <c r="AA78" i="39"/>
  <c r="AA79" i="39"/>
  <c r="D75" i="50" s="1"/>
  <c r="AA80" i="39"/>
  <c r="AA81" i="39"/>
  <c r="AA82" i="39"/>
  <c r="AA83" i="39"/>
  <c r="AA84" i="39"/>
  <c r="D80" i="50" s="1"/>
  <c r="K80" i="50" s="1"/>
  <c r="B82" i="50"/>
  <c r="B83" i="50"/>
  <c r="B84" i="50"/>
  <c r="B87" i="50"/>
  <c r="B88" i="50"/>
  <c r="B89" i="50"/>
  <c r="AA95" i="39"/>
  <c r="AA96" i="39"/>
  <c r="AA97" i="39"/>
  <c r="AA98" i="39"/>
  <c r="D19" i="51" s="1"/>
  <c r="AA99" i="39"/>
  <c r="AF99" i="39"/>
  <c r="AA100" i="39"/>
  <c r="D109" i="40" s="1"/>
  <c r="AA101" i="39"/>
  <c r="D110" i="40" s="1"/>
  <c r="AA102" i="39"/>
  <c r="D111" i="40" s="1"/>
  <c r="AA103" i="39"/>
  <c r="D112" i="40" s="1"/>
  <c r="AA104" i="39"/>
  <c r="D113" i="40" s="1"/>
  <c r="AA105" i="39"/>
  <c r="D114" i="40" s="1"/>
  <c r="AA106" i="39"/>
  <c r="D115" i="40" s="1"/>
  <c r="AA107" i="39"/>
  <c r="AA108" i="39"/>
  <c r="AA109" i="39"/>
  <c r="AA110" i="39"/>
  <c r="AA111" i="39"/>
  <c r="AA112" i="39"/>
  <c r="D26" i="51" s="1"/>
  <c r="AA113" i="39"/>
  <c r="D122" i="40" s="1"/>
  <c r="AA114" i="39"/>
  <c r="D123" i="40" s="1"/>
  <c r="AA115" i="39"/>
  <c r="D124" i="40" s="1"/>
  <c r="AA116" i="39"/>
  <c r="D125" i="40" s="1"/>
  <c r="AA117" i="39"/>
  <c r="D126" i="40" s="1"/>
  <c r="AA118" i="39"/>
  <c r="D127" i="40" s="1"/>
  <c r="AA119" i="39"/>
  <c r="D128" i="40" s="1"/>
  <c r="AA120" i="39"/>
  <c r="D129" i="40" s="1"/>
  <c r="AA122" i="39"/>
  <c r="D32" i="51" s="1"/>
  <c r="AA123" i="39"/>
  <c r="AA124" i="39"/>
  <c r="AA125" i="39"/>
  <c r="D36" i="51" s="1"/>
  <c r="AA126" i="39"/>
  <c r="D37" i="51" s="1"/>
  <c r="AA127" i="39"/>
  <c r="AA128" i="39"/>
  <c r="AA129" i="39"/>
  <c r="D40" i="51" s="1"/>
  <c r="AA130" i="39"/>
  <c r="D139" i="40" s="1"/>
  <c r="AA131" i="39"/>
  <c r="D140" i="40" s="1"/>
  <c r="AA132" i="39"/>
  <c r="D41" i="51" s="1"/>
  <c r="AA134" i="39"/>
  <c r="D143" i="40" s="1"/>
  <c r="AA135" i="39"/>
  <c r="D144" i="40" s="1"/>
  <c r="AA136" i="39"/>
  <c r="AA137" i="39"/>
  <c r="AA138" i="39"/>
  <c r="AA139" i="39"/>
  <c r="D148" i="40" s="1"/>
  <c r="AA140" i="39"/>
  <c r="D149" i="40" s="1"/>
  <c r="AA141" i="39"/>
  <c r="AA142" i="39"/>
  <c r="D49" i="51" s="1"/>
  <c r="AA143" i="39"/>
  <c r="AA144" i="39"/>
  <c r="D153" i="40" s="1"/>
  <c r="AA145" i="39"/>
  <c r="AA147" i="39"/>
  <c r="AA148" i="39"/>
  <c r="AA149" i="39"/>
  <c r="AA150" i="39"/>
  <c r="AA151" i="39"/>
  <c r="AA152" i="39"/>
  <c r="D161" i="40" s="1"/>
  <c r="AA154" i="39"/>
  <c r="AA163" i="39"/>
  <c r="D180" i="40" s="1"/>
  <c r="AA164" i="39"/>
  <c r="D181" i="40" s="1"/>
  <c r="AA165" i="39"/>
  <c r="D182" i="40" s="1"/>
  <c r="AA166" i="39"/>
  <c r="D183" i="40" s="1"/>
  <c r="AA167" i="39"/>
  <c r="D184" i="40" s="1"/>
  <c r="AA168" i="39"/>
  <c r="D185" i="40" s="1"/>
  <c r="AA169" i="39"/>
  <c r="D186" i="40" s="1"/>
  <c r="AA170" i="39"/>
  <c r="D187" i="40" s="1"/>
  <c r="AA171" i="39"/>
  <c r="D188" i="40" s="1"/>
  <c r="AA172" i="39"/>
  <c r="D189" i="40" s="1"/>
  <c r="AA173" i="39"/>
  <c r="D190" i="40" s="1"/>
  <c r="AA174" i="39"/>
  <c r="D191" i="40" s="1"/>
  <c r="AA175" i="39"/>
  <c r="D192" i="40" s="1"/>
  <c r="AA176" i="39"/>
  <c r="D193" i="40" s="1"/>
  <c r="AA177" i="39"/>
  <c r="D194" i="40" s="1"/>
  <c r="AA178" i="39"/>
  <c r="D195" i="40" s="1"/>
  <c r="AA179" i="39"/>
  <c r="D196" i="40" s="1"/>
  <c r="AA180" i="39"/>
  <c r="D197" i="40" s="1"/>
  <c r="AA182" i="39"/>
  <c r="AA183" i="39"/>
  <c r="D103" i="51" s="1"/>
  <c r="AA184" i="39"/>
  <c r="D201" i="40" s="1"/>
  <c r="AA185" i="39"/>
  <c r="D202" i="40" s="1"/>
  <c r="AA186" i="39"/>
  <c r="D203" i="40" s="1"/>
  <c r="AA187" i="39"/>
  <c r="D204" i="40" s="1"/>
  <c r="AA188" i="39"/>
  <c r="D111" i="51" s="1"/>
  <c r="AA189" i="39"/>
  <c r="D121" i="51" s="1"/>
  <c r="AA190" i="39"/>
  <c r="D122" i="51" s="1"/>
  <c r="AA192" i="39"/>
  <c r="D124" i="51" s="1"/>
  <c r="AA193" i="39"/>
  <c r="D125" i="51" s="1"/>
  <c r="AA194" i="39"/>
  <c r="D126" i="51" s="1"/>
  <c r="AA195" i="39"/>
  <c r="AA196" i="39"/>
  <c r="D128" i="51" s="1"/>
  <c r="AA197" i="39"/>
  <c r="D130" i="51" s="1"/>
  <c r="AA198" i="39"/>
  <c r="D131" i="51" s="1"/>
  <c r="AA199" i="39"/>
  <c r="D132" i="51" s="1"/>
  <c r="AA200" i="39"/>
  <c r="AA201" i="39"/>
  <c r="D134" i="51" s="1"/>
  <c r="AA202" i="39"/>
  <c r="D135" i="51" s="1"/>
  <c r="AA203" i="39"/>
  <c r="D136" i="51" s="1"/>
  <c r="AA211" i="39"/>
  <c r="AA212" i="39"/>
  <c r="D188" i="50" s="1"/>
  <c r="AA213" i="39"/>
  <c r="D189" i="50" s="1"/>
  <c r="AA214" i="39"/>
  <c r="AA215" i="39"/>
  <c r="D191" i="50" s="1"/>
  <c r="AA216" i="39"/>
  <c r="D192" i="50" s="1"/>
  <c r="AA217" i="39"/>
  <c r="D193" i="50" s="1"/>
  <c r="AA218" i="39"/>
  <c r="D194" i="50" s="1"/>
  <c r="AA219" i="39"/>
  <c r="AA220" i="39"/>
  <c r="D196" i="50" s="1"/>
  <c r="AA221" i="39"/>
  <c r="D197" i="50" s="1"/>
  <c r="AA222" i="39"/>
  <c r="D247" i="40" s="1"/>
  <c r="AA223" i="39"/>
  <c r="D248" i="40" s="1"/>
  <c r="AA224" i="39"/>
  <c r="D249" i="40" s="1"/>
  <c r="AA225" i="39"/>
  <c r="D250" i="40" s="1"/>
  <c r="AA226" i="39"/>
  <c r="AA227" i="39"/>
  <c r="D212" i="50" s="1"/>
  <c r="AA228" i="39"/>
  <c r="D213" i="50" s="1"/>
  <c r="AA229" i="39"/>
  <c r="D215" i="50" s="1"/>
  <c r="AA230" i="39"/>
  <c r="D255" i="40" s="1"/>
  <c r="AA231" i="39"/>
  <c r="D256" i="40" s="1"/>
  <c r="AA232" i="39"/>
  <c r="D222" i="50" s="1"/>
  <c r="AA233" i="39"/>
  <c r="D223" i="50" s="1"/>
  <c r="AA234" i="39"/>
  <c r="D224" i="50" s="1"/>
  <c r="AA235" i="39"/>
  <c r="D225" i="50" s="1"/>
  <c r="AA236" i="39"/>
  <c r="D226" i="50" s="1"/>
  <c r="AA237" i="39"/>
  <c r="D227" i="50" s="1"/>
  <c r="AA238" i="39"/>
  <c r="AA239" i="39"/>
  <c r="D229" i="50" s="1"/>
  <c r="AA240" i="39"/>
  <c r="D230" i="50" s="1"/>
  <c r="AA241" i="39"/>
  <c r="D231" i="50" s="1"/>
  <c r="AA242" i="39"/>
  <c r="D232" i="50" s="1"/>
  <c r="AA243" i="39"/>
  <c r="AA244" i="39"/>
  <c r="D234" i="50" s="1"/>
  <c r="AA245" i="39"/>
  <c r="D235" i="50" s="1"/>
  <c r="AA246" i="39"/>
  <c r="D236" i="50" s="1"/>
  <c r="AA247" i="39"/>
  <c r="D237" i="50" s="1"/>
  <c r="AA248" i="39"/>
  <c r="D273" i="40" s="1"/>
  <c r="AA249" i="39"/>
  <c r="D274" i="40" s="1"/>
  <c r="AA250" i="39"/>
  <c r="AA251" i="39"/>
  <c r="D242" i="50" s="1"/>
  <c r="AA252" i="39"/>
  <c r="D243" i="50" s="1"/>
  <c r="AA253" i="39"/>
  <c r="D244" i="50" s="1"/>
  <c r="AA254" i="39"/>
  <c r="D245" i="50" s="1"/>
  <c r="AA255" i="39"/>
  <c r="AA256" i="39"/>
  <c r="D247" i="50" s="1"/>
  <c r="AA257" i="39"/>
  <c r="D248" i="50" s="1"/>
  <c r="AA259" i="39"/>
  <c r="D250" i="50" s="1"/>
  <c r="AA260" i="39"/>
  <c r="D251" i="50" s="1"/>
  <c r="AA261" i="39"/>
  <c r="D252" i="50" s="1"/>
  <c r="AA262" i="39"/>
  <c r="D253" i="50" s="1"/>
  <c r="AA263" i="39"/>
  <c r="AA264" i="39"/>
  <c r="D255" i="50" s="1"/>
  <c r="AA265" i="39"/>
  <c r="D256" i="50" s="1"/>
  <c r="AA278" i="39"/>
  <c r="AA279" i="39"/>
  <c r="D149" i="51" s="1"/>
  <c r="AA280" i="39"/>
  <c r="AA281" i="39"/>
  <c r="D151" i="51" s="1"/>
  <c r="AA282" i="39"/>
  <c r="D152" i="51" s="1"/>
  <c r="AA283" i="39"/>
  <c r="D311" i="40" s="1"/>
  <c r="AA284" i="39"/>
  <c r="D312" i="40" s="1"/>
  <c r="AA285" i="39"/>
  <c r="D313" i="40" s="1"/>
  <c r="AA286" i="39"/>
  <c r="D314" i="40" s="1"/>
  <c r="AA288" i="39"/>
  <c r="D316" i="40" s="1"/>
  <c r="AA289" i="39"/>
  <c r="D317" i="40" s="1"/>
  <c r="AA292" i="39"/>
  <c r="D320" i="40" s="1"/>
  <c r="AA293" i="39"/>
  <c r="D321" i="40" s="1"/>
  <c r="AA295" i="39"/>
  <c r="D323" i="40" s="1"/>
  <c r="AA296" i="39"/>
  <c r="D324" i="40" s="1"/>
  <c r="AA297" i="39"/>
  <c r="D325" i="40" s="1"/>
  <c r="AA298" i="39"/>
  <c r="D326" i="40" s="1"/>
  <c r="AA299" i="39"/>
  <c r="D327" i="40" s="1"/>
  <c r="AA300" i="39"/>
  <c r="D154" i="51" s="1"/>
  <c r="AA301" i="39"/>
  <c r="D155" i="51" s="1"/>
  <c r="AA302" i="39"/>
  <c r="D156" i="51" s="1"/>
  <c r="AA303" i="39"/>
  <c r="AA305" i="39"/>
  <c r="D333" i="40" s="1"/>
  <c r="AA306" i="39"/>
  <c r="D334" i="40" s="1"/>
  <c r="AA308" i="39"/>
  <c r="D336" i="40" s="1"/>
  <c r="AA309" i="39"/>
  <c r="D337" i="40" s="1"/>
  <c r="AA310" i="39"/>
  <c r="AA311" i="39"/>
  <c r="D159" i="51" s="1"/>
  <c r="AA312" i="39"/>
  <c r="D160" i="51" s="1"/>
  <c r="AA313" i="39"/>
  <c r="D161" i="51" s="1"/>
  <c r="AA314" i="39"/>
  <c r="D162" i="51" s="1"/>
  <c r="AA315" i="39"/>
  <c r="D163" i="51" s="1"/>
  <c r="AA316" i="39"/>
  <c r="D165" i="51" s="1"/>
  <c r="AA317" i="39"/>
  <c r="AA318" i="39"/>
  <c r="D167" i="51" s="1"/>
  <c r="AA319" i="39"/>
  <c r="D168" i="51" s="1"/>
  <c r="AA320" i="39"/>
  <c r="D169" i="51" s="1"/>
  <c r="AA321" i="39"/>
  <c r="D170" i="51" s="1"/>
  <c r="AA322" i="39"/>
  <c r="AA323" i="39"/>
  <c r="D173" i="51" s="1"/>
  <c r="AA336" i="39"/>
  <c r="AA337" i="39"/>
  <c r="D184" i="51" s="1"/>
  <c r="AA338" i="39"/>
  <c r="D185" i="51" s="1"/>
  <c r="AA339" i="39"/>
  <c r="D186" i="51" s="1"/>
  <c r="AA340" i="39"/>
  <c r="D187" i="51" s="1"/>
  <c r="AA341" i="39"/>
  <c r="D372" i="40" s="1"/>
  <c r="AA342" i="39"/>
  <c r="D373" i="40" s="1"/>
  <c r="AA343" i="39"/>
  <c r="D374" i="40" s="1"/>
  <c r="AA344" i="39"/>
  <c r="D375" i="40" s="1"/>
  <c r="AA346" i="39"/>
  <c r="D377" i="40" s="1"/>
  <c r="AA347" i="39"/>
  <c r="D378" i="40" s="1"/>
  <c r="AA348" i="39"/>
  <c r="D188" i="51" s="1"/>
  <c r="AA350" i="39"/>
  <c r="D381" i="40" s="1"/>
  <c r="AA352" i="39"/>
  <c r="D383" i="40" s="1"/>
  <c r="AA353" i="39"/>
  <c r="D384" i="40" s="1"/>
  <c r="AA354" i="39"/>
  <c r="D189" i="51" s="1"/>
  <c r="AA355" i="39"/>
  <c r="D190" i="51" s="1"/>
  <c r="AA356" i="39"/>
  <c r="AA357" i="39"/>
  <c r="D192" i="51" s="1"/>
  <c r="Q192" i="51" s="1"/>
  <c r="AA359" i="39"/>
  <c r="D390" i="40" s="1"/>
  <c r="AA360" i="39"/>
  <c r="D391" i="40" s="1"/>
  <c r="AA362" i="39"/>
  <c r="D393" i="40" s="1"/>
  <c r="AA363" i="39"/>
  <c r="D394" i="40" s="1"/>
  <c r="AA364" i="39"/>
  <c r="D193" i="51" s="1"/>
  <c r="AA365" i="39"/>
  <c r="D194" i="51" s="1"/>
  <c r="AA366" i="39"/>
  <c r="D195" i="51" s="1"/>
  <c r="AA367" i="39"/>
  <c r="D196" i="51" s="1"/>
  <c r="AA368" i="39"/>
  <c r="D197" i="51" s="1"/>
  <c r="AA369" i="39"/>
  <c r="D198" i="51" s="1"/>
  <c r="AA370" i="39"/>
  <c r="AA371" i="39"/>
  <c r="D201" i="51" s="1"/>
  <c r="AA372" i="39"/>
  <c r="D202" i="51" s="1"/>
  <c r="AA373" i="39"/>
  <c r="D203" i="51" s="1"/>
  <c r="AA374" i="39"/>
  <c r="D204" i="51" s="1"/>
  <c r="AA375" i="39"/>
  <c r="AA376" i="39"/>
  <c r="D206" i="51" s="1"/>
  <c r="AA378" i="39"/>
  <c r="D210" i="51" s="1"/>
  <c r="AA386" i="39"/>
  <c r="AA387" i="39"/>
  <c r="D218" i="51" s="1"/>
  <c r="AA388" i="39"/>
  <c r="D219" i="51" s="1"/>
  <c r="Q219" i="51" s="1"/>
  <c r="AA389" i="39"/>
  <c r="AA390" i="39"/>
  <c r="AA391" i="39"/>
  <c r="D425" i="40" s="1"/>
  <c r="AA392" i="39"/>
  <c r="D426" i="40" s="1"/>
  <c r="AA393" i="39"/>
  <c r="D427" i="40" s="1"/>
  <c r="AA394" i="39"/>
  <c r="D428" i="40" s="1"/>
  <c r="AA396" i="39"/>
  <c r="D430" i="40" s="1"/>
  <c r="AA397" i="39"/>
  <c r="D431" i="40" s="1"/>
  <c r="AA398" i="39"/>
  <c r="D222" i="51" s="1"/>
  <c r="AA399" i="39"/>
  <c r="D433" i="40" s="1"/>
  <c r="AA400" i="39"/>
  <c r="D434" i="40" s="1"/>
  <c r="AA401" i="39"/>
  <c r="D435" i="40" s="1"/>
  <c r="AA402" i="39"/>
  <c r="D436" i="40" s="1"/>
  <c r="AA403" i="39"/>
  <c r="D437" i="40" s="1"/>
  <c r="AA404" i="39"/>
  <c r="D438" i="40" s="1"/>
  <c r="AA405" i="39"/>
  <c r="D439" i="40" s="1"/>
  <c r="AA406" i="39"/>
  <c r="D440" i="40" s="1"/>
  <c r="AA407" i="39"/>
  <c r="D441" i="40" s="1"/>
  <c r="AA408" i="39"/>
  <c r="AA409" i="39"/>
  <c r="D224" i="51" s="1"/>
  <c r="AA410" i="39"/>
  <c r="D225" i="51" s="1"/>
  <c r="AA411" i="39"/>
  <c r="D226" i="51" s="1"/>
  <c r="AA412" i="39"/>
  <c r="D227" i="51" s="1"/>
  <c r="AA413" i="39"/>
  <c r="D447" i="40" s="1"/>
  <c r="AA414" i="39"/>
  <c r="D448" i="40" s="1"/>
  <c r="AA416" i="39"/>
  <c r="D450" i="40" s="1"/>
  <c r="AA417" i="39"/>
  <c r="D451" i="40" s="1"/>
  <c r="AA418" i="39"/>
  <c r="D228" i="51" s="1"/>
  <c r="AA419" i="39"/>
  <c r="D229" i="51" s="1"/>
  <c r="AA420" i="39"/>
  <c r="D230" i="51" s="1"/>
  <c r="AA421" i="39"/>
  <c r="AA422" i="39"/>
  <c r="D232" i="51" s="1"/>
  <c r="AA423" i="39"/>
  <c r="D233" i="51" s="1"/>
  <c r="AA424" i="39"/>
  <c r="D234" i="51" s="1"/>
  <c r="AA425" i="39"/>
  <c r="D235" i="51" s="1"/>
  <c r="AA426" i="39"/>
  <c r="AA427" i="39"/>
  <c r="D238" i="51" s="1"/>
  <c r="AA428" i="39"/>
  <c r="AA429" i="39"/>
  <c r="D240" i="51" s="1"/>
  <c r="AA430" i="39"/>
  <c r="D241" i="51" s="1"/>
  <c r="AA431" i="39"/>
  <c r="D465" i="40" s="1"/>
  <c r="AA432" i="39"/>
  <c r="D466" i="40" s="1"/>
  <c r="AA440" i="39"/>
  <c r="AA441" i="39"/>
  <c r="D292" i="51" s="1"/>
  <c r="AA442" i="39"/>
  <c r="D293" i="51" s="1"/>
  <c r="AA443" i="39"/>
  <c r="D294" i="51" s="1"/>
  <c r="AA444" i="39"/>
  <c r="D295" i="51" s="1"/>
  <c r="AA445" i="39"/>
  <c r="D482" i="40" s="1"/>
  <c r="AA446" i="39"/>
  <c r="D483" i="40" s="1"/>
  <c r="AA447" i="39"/>
  <c r="D484" i="40" s="1"/>
  <c r="AA448" i="39"/>
  <c r="D485" i="40" s="1"/>
  <c r="AA450" i="39"/>
  <c r="D487" i="40" s="1"/>
  <c r="AA451" i="39"/>
  <c r="D488" i="40" s="1"/>
  <c r="AA452" i="39"/>
  <c r="D296" i="51" s="1"/>
  <c r="AA453" i="39"/>
  <c r="D490" i="40" s="1"/>
  <c r="AA454" i="39"/>
  <c r="D491" i="40" s="1"/>
  <c r="AA455" i="39"/>
  <c r="D492" i="40" s="1"/>
  <c r="AA456" i="39"/>
  <c r="D493" i="40" s="1"/>
  <c r="AA457" i="39"/>
  <c r="D297" i="51" s="1"/>
  <c r="AA458" i="39"/>
  <c r="D298" i="51" s="1"/>
  <c r="AA459" i="39"/>
  <c r="D299" i="51" s="1"/>
  <c r="AA460" i="39"/>
  <c r="AA461" i="39"/>
  <c r="D301" i="51" s="1"/>
  <c r="Q301" i="51" s="1"/>
  <c r="AA462" i="39"/>
  <c r="D499" i="40" s="1"/>
  <c r="AA463" i="39"/>
  <c r="D500" i="40" s="1"/>
  <c r="AA465" i="39"/>
  <c r="D502" i="40" s="1"/>
  <c r="AA466" i="39"/>
  <c r="D503" i="40" s="1"/>
  <c r="AA467" i="39"/>
  <c r="D302" i="51" s="1"/>
  <c r="AA468" i="39"/>
  <c r="D303" i="51" s="1"/>
  <c r="AA469" i="39"/>
  <c r="D304" i="51" s="1"/>
  <c r="AA470" i="39"/>
  <c r="D305" i="51" s="1"/>
  <c r="AA471" i="39"/>
  <c r="D306" i="51" s="1"/>
  <c r="AA472" i="39"/>
  <c r="D307" i="51" s="1"/>
  <c r="AA473" i="39"/>
  <c r="AA474" i="39"/>
  <c r="D309" i="51" s="1"/>
  <c r="R309" i="51" s="1"/>
  <c r="AA475" i="39"/>
  <c r="D311" i="51" s="1"/>
  <c r="AA476" i="39"/>
  <c r="D312" i="51" s="1"/>
  <c r="AA477" i="39"/>
  <c r="D313" i="51" s="1"/>
  <c r="AA478" i="39"/>
  <c r="AA479" i="39"/>
  <c r="D315" i="51" s="1"/>
  <c r="AA480" i="39"/>
  <c r="D517" i="40" s="1"/>
  <c r="AA482" i="39"/>
  <c r="AA483" i="39"/>
  <c r="AA484" i="39"/>
  <c r="D319" i="51" s="1"/>
  <c r="AA490" i="39"/>
  <c r="AA491" i="39"/>
  <c r="AA492" i="39"/>
  <c r="D358" i="50" s="1"/>
  <c r="AA493" i="39"/>
  <c r="D359" i="50" s="1"/>
  <c r="AA494" i="39"/>
  <c r="D360" i="50" s="1"/>
  <c r="AA495" i="39"/>
  <c r="D361" i="50" s="1"/>
  <c r="AA496" i="39"/>
  <c r="F5" i="26"/>
  <c r="F33" i="26" s="1"/>
  <c r="J8" i="26"/>
  <c r="D9" i="26"/>
  <c r="C10" i="26"/>
  <c r="C11" i="26" s="1"/>
  <c r="D19" i="26"/>
  <c r="C20" i="26"/>
  <c r="J31" i="26"/>
  <c r="D32" i="26"/>
  <c r="E32" i="26" s="1"/>
  <c r="F32" i="26"/>
  <c r="G32" i="26"/>
  <c r="D33" i="26"/>
  <c r="G33" i="26"/>
  <c r="D34" i="26"/>
  <c r="E34" i="26" s="1"/>
  <c r="G34" i="26"/>
  <c r="D35" i="26"/>
  <c r="F35" i="26"/>
  <c r="G35" i="26"/>
  <c r="D38" i="26"/>
  <c r="H38" i="26" s="1"/>
  <c r="E38" i="26"/>
  <c r="C39" i="26"/>
  <c r="D48" i="26"/>
  <c r="E48" i="26" s="1"/>
  <c r="I48" i="26" s="1"/>
  <c r="C49" i="26"/>
  <c r="D49" i="26" s="1"/>
  <c r="D62" i="26"/>
  <c r="E62" i="26" s="1"/>
  <c r="D63" i="26"/>
  <c r="E63" i="26" s="1"/>
  <c r="D64" i="26"/>
  <c r="E64" i="26" s="1"/>
  <c r="D66" i="26"/>
  <c r="E66" i="26" s="1"/>
  <c r="D67" i="26"/>
  <c r="E67" i="26" s="1"/>
  <c r="D68" i="26"/>
  <c r="E68" i="26" s="1"/>
  <c r="J69" i="26"/>
  <c r="K139" i="50" s="1"/>
  <c r="C6" i="39"/>
  <c r="F5" i="46"/>
  <c r="F6" i="46"/>
  <c r="F7" i="46"/>
  <c r="F8" i="46"/>
  <c r="F9" i="46"/>
  <c r="F10" i="46"/>
  <c r="F11" i="46"/>
  <c r="F12" i="46"/>
  <c r="F13" i="46"/>
  <c r="F14" i="46"/>
  <c r="F15" i="46"/>
  <c r="F16" i="46"/>
  <c r="F17" i="46"/>
  <c r="F18" i="46"/>
  <c r="F19" i="46"/>
  <c r="F20" i="46"/>
  <c r="F21" i="46"/>
  <c r="G26" i="46"/>
  <c r="G150" i="22" s="1"/>
  <c r="I150" i="22" s="1"/>
  <c r="G27" i="46"/>
  <c r="G166" i="22" s="1"/>
  <c r="I166" i="22" s="1"/>
  <c r="G28" i="46"/>
  <c r="G41" i="22" s="1"/>
  <c r="I41" i="22" s="1"/>
  <c r="G29" i="46"/>
  <c r="G30" i="46"/>
  <c r="G64" i="22" s="1"/>
  <c r="G31" i="46"/>
  <c r="G155" i="22" s="1"/>
  <c r="I155" i="22" s="1"/>
  <c r="G32" i="46"/>
  <c r="G33" i="46"/>
  <c r="G76" i="22" s="1"/>
  <c r="I76" i="22" s="1"/>
  <c r="G34" i="46"/>
  <c r="G19" i="22" s="1"/>
  <c r="I19" i="22" s="1"/>
  <c r="E35" i="46"/>
  <c r="E105" i="22" s="1"/>
  <c r="E44" i="49"/>
  <c r="E45" i="49" s="1"/>
  <c r="S34" i="49"/>
  <c r="U34" i="49" s="1"/>
  <c r="Q35" i="49"/>
  <c r="S35" i="49" s="1"/>
  <c r="U35" i="49" s="1"/>
  <c r="G38" i="49"/>
  <c r="I38" i="49" s="1"/>
  <c r="N26" i="49"/>
  <c r="K44" i="49"/>
  <c r="K45" i="49" s="1"/>
  <c r="N25" i="49"/>
  <c r="Q45" i="49"/>
  <c r="K38" i="49"/>
  <c r="M38" i="49" s="1"/>
  <c r="O38" i="49" s="1"/>
  <c r="N9" i="49"/>
  <c r="S43" i="49"/>
  <c r="U43" i="49" s="1"/>
  <c r="G37" i="49"/>
  <c r="I37" i="49" s="1"/>
  <c r="S33" i="49"/>
  <c r="U33" i="49" s="1"/>
  <c r="H28" i="49"/>
  <c r="Q25" i="49"/>
  <c r="Q14" i="49"/>
  <c r="P14" i="49"/>
  <c r="P25" i="49"/>
  <c r="Q26" i="49"/>
  <c r="K14" i="49"/>
  <c r="H24" i="49"/>
  <c r="M14" i="49"/>
  <c r="O14" i="49" s="1"/>
  <c r="F77" i="52"/>
  <c r="F85" i="52"/>
  <c r="F276" i="52"/>
  <c r="F73" i="53"/>
  <c r="F286" i="52"/>
  <c r="F19" i="48"/>
  <c r="F50" i="53"/>
  <c r="L370" i="52"/>
  <c r="M370" i="52" s="1"/>
  <c r="L403" i="52"/>
  <c r="M403" i="52" s="1"/>
  <c r="L61" i="52"/>
  <c r="M61" i="52" s="1"/>
  <c r="K517" i="52"/>
  <c r="L517" i="52" s="1"/>
  <c r="M517" i="52" s="1"/>
  <c r="K502" i="52"/>
  <c r="L502" i="52" s="1"/>
  <c r="M502" i="52" s="1"/>
  <c r="K102" i="52"/>
  <c r="L102" i="52" s="1"/>
  <c r="M102" i="52" s="1"/>
  <c r="K522" i="52"/>
  <c r="D41" i="48"/>
  <c r="E52" i="52"/>
  <c r="K52" i="52" s="1"/>
  <c r="K395" i="52"/>
  <c r="L395" i="52" s="1"/>
  <c r="L406" i="52"/>
  <c r="M406" i="52" s="1"/>
  <c r="M58" i="52"/>
  <c r="E538" i="52"/>
  <c r="K538" i="52" s="1"/>
  <c r="L538" i="52" s="1"/>
  <c r="M538" i="52" s="1"/>
  <c r="E536" i="52"/>
  <c r="K536" i="52" s="1"/>
  <c r="L536" i="52" s="1"/>
  <c r="K508" i="52"/>
  <c r="L508" i="52" s="1"/>
  <c r="M508" i="52" s="1"/>
  <c r="M63" i="52"/>
  <c r="E540" i="52"/>
  <c r="K540" i="52" s="1"/>
  <c r="L540" i="52" s="1"/>
  <c r="M540" i="52" s="1"/>
  <c r="E547" i="52"/>
  <c r="K547" i="52"/>
  <c r="L547" i="52" s="1"/>
  <c r="M547" i="52" s="1"/>
  <c r="E542" i="52"/>
  <c r="K542" i="52" s="1"/>
  <c r="L542" i="52" s="1"/>
  <c r="K497" i="52"/>
  <c r="L497" i="52" s="1"/>
  <c r="M497" i="52" s="1"/>
  <c r="M401" i="52"/>
  <c r="K510" i="52"/>
  <c r="L510" i="52" s="1"/>
  <c r="M510" i="52" s="1"/>
  <c r="F97" i="52"/>
  <c r="N52" i="52"/>
  <c r="N46" i="52"/>
  <c r="K519" i="52"/>
  <c r="L519" i="52" s="1"/>
  <c r="M519" i="52" s="1"/>
  <c r="K514" i="52"/>
  <c r="M408" i="52"/>
  <c r="N267" i="52"/>
  <c r="I214" i="50"/>
  <c r="I201" i="50"/>
  <c r="I57" i="50"/>
  <c r="L105" i="51"/>
  <c r="I52" i="50"/>
  <c r="K105" i="51"/>
  <c r="B369" i="52"/>
  <c r="C62" i="17"/>
  <c r="I198" i="50"/>
  <c r="M59" i="51"/>
  <c r="A369" i="52"/>
  <c r="B62" i="17"/>
  <c r="I109" i="50"/>
  <c r="M114" i="51"/>
  <c r="M110" i="51"/>
  <c r="K59" i="51"/>
  <c r="I220" i="50"/>
  <c r="I101" i="50"/>
  <c r="I118" i="50"/>
  <c r="I344" i="50"/>
  <c r="I343" i="50" s="1"/>
  <c r="I103" i="50"/>
  <c r="I334" i="50"/>
  <c r="I209" i="50"/>
  <c r="I115" i="50"/>
  <c r="L142" i="40"/>
  <c r="M68" i="51"/>
  <c r="I149" i="50"/>
  <c r="K107" i="51"/>
  <c r="I199" i="50"/>
  <c r="M29" i="51"/>
  <c r="I291" i="50"/>
  <c r="I158" i="50"/>
  <c r="I50" i="50"/>
  <c r="L29" i="51"/>
  <c r="I136" i="50"/>
  <c r="K66" i="51"/>
  <c r="I205" i="50"/>
  <c r="I164" i="50"/>
  <c r="I163" i="50" s="1"/>
  <c r="I162" i="50" s="1"/>
  <c r="K120" i="51"/>
  <c r="K71" i="51"/>
  <c r="I122" i="50"/>
  <c r="I335" i="50"/>
  <c r="I316" i="50"/>
  <c r="I311" i="50"/>
  <c r="I219" i="50"/>
  <c r="I303" i="50"/>
  <c r="I298" i="50"/>
  <c r="M83" i="51"/>
  <c r="M82" i="51" s="1"/>
  <c r="K332" i="40"/>
  <c r="K28" i="51"/>
  <c r="K13" i="51" s="1"/>
  <c r="I300" i="50"/>
  <c r="I239" i="50"/>
  <c r="M70" i="51"/>
  <c r="A16" i="52"/>
  <c r="B20" i="17"/>
  <c r="I326" i="50"/>
  <c r="K134" i="50"/>
  <c r="K208" i="51"/>
  <c r="K207" i="51" s="1"/>
  <c r="I55" i="50"/>
  <c r="L68" i="51"/>
  <c r="I346" i="50"/>
  <c r="I203" i="50"/>
  <c r="I110" i="50"/>
  <c r="K95" i="51"/>
  <c r="K35" i="51"/>
  <c r="K319" i="40"/>
  <c r="M55" i="51"/>
  <c r="I333" i="50"/>
  <c r="I332" i="50" s="1"/>
  <c r="I331" i="50" s="1"/>
  <c r="I46" i="50"/>
  <c r="I126" i="50"/>
  <c r="I142" i="50"/>
  <c r="L245" i="51"/>
  <c r="L244" i="51" s="1"/>
  <c r="M44" i="51"/>
  <c r="I296" i="50"/>
  <c r="K245" i="51"/>
  <c r="K244" i="51" s="1"/>
  <c r="M106" i="51"/>
  <c r="I128" i="50"/>
  <c r="I123" i="50"/>
  <c r="S40" i="51"/>
  <c r="M130" i="40"/>
  <c r="I238" i="50"/>
  <c r="I237" i="50" s="1"/>
  <c r="M35" i="51"/>
  <c r="M449" i="40"/>
  <c r="I337" i="50"/>
  <c r="I317" i="50"/>
  <c r="I308" i="50"/>
  <c r="I306" i="50" s="1"/>
  <c r="I284" i="50"/>
  <c r="I277" i="50"/>
  <c r="I153" i="50"/>
  <c r="I112" i="50"/>
  <c r="M66" i="51"/>
  <c r="K44" i="51"/>
  <c r="L35" i="51"/>
  <c r="M322" i="40"/>
  <c r="I302" i="50"/>
  <c r="I278" i="50"/>
  <c r="K52" i="51"/>
  <c r="K27" i="51"/>
  <c r="K376" i="40"/>
  <c r="K140" i="51"/>
  <c r="K139" i="51" s="1"/>
  <c r="I287" i="50"/>
  <c r="M140" i="51"/>
  <c r="M139" i="51"/>
  <c r="M56" i="51"/>
  <c r="I102" i="50"/>
  <c r="L138" i="51"/>
  <c r="L137" i="51" s="1"/>
  <c r="K110" i="51"/>
  <c r="L56" i="51"/>
  <c r="I280" i="50"/>
  <c r="I151" i="50"/>
  <c r="I134" i="50"/>
  <c r="I127" i="50"/>
  <c r="M30" i="51"/>
  <c r="M15" i="51" s="1"/>
  <c r="L20" i="52"/>
  <c r="M20" i="52" s="1"/>
  <c r="L399" i="52"/>
  <c r="M399" i="52" s="1"/>
  <c r="L372" i="52"/>
  <c r="M372" i="52"/>
  <c r="L59" i="52"/>
  <c r="M59" i="52" s="1"/>
  <c r="L415" i="52"/>
  <c r="M415" i="52" s="1"/>
  <c r="E544" i="52"/>
  <c r="K544" i="52" s="1"/>
  <c r="L544" i="52" s="1"/>
  <c r="K509" i="52"/>
  <c r="D495" i="52"/>
  <c r="D530" i="52" s="1"/>
  <c r="E73" i="17"/>
  <c r="F81" i="52"/>
  <c r="F73" i="52"/>
  <c r="F69" i="52"/>
  <c r="M429" i="40"/>
  <c r="K516" i="52"/>
  <c r="L516" i="52" s="1"/>
  <c r="M516" i="52" s="1"/>
  <c r="F430" i="52"/>
  <c r="L405" i="52"/>
  <c r="M405" i="52" s="1"/>
  <c r="E268" i="52"/>
  <c r="K268" i="52" s="1"/>
  <c r="L429" i="40"/>
  <c r="A495" i="52"/>
  <c r="A530" i="52" s="1"/>
  <c r="B73" i="17"/>
  <c r="K130" i="40"/>
  <c r="L402" i="52"/>
  <c r="M402" i="52" s="1"/>
  <c r="I49" i="40"/>
  <c r="F14" i="17" s="1"/>
  <c r="L14" i="17" s="1"/>
  <c r="M14" i="17" s="1"/>
  <c r="N14" i="17" s="1"/>
  <c r="B58" i="17"/>
  <c r="C22" i="17"/>
  <c r="L271" i="52"/>
  <c r="M271" i="52" s="1"/>
  <c r="E560" i="52"/>
  <c r="K560" i="52" s="1"/>
  <c r="K528" i="52"/>
  <c r="L528" i="52" s="1"/>
  <c r="F96" i="52"/>
  <c r="A264" i="52"/>
  <c r="B41" i="17"/>
  <c r="A467" i="52"/>
  <c r="M389" i="40"/>
  <c r="R318" i="40"/>
  <c r="L505" i="52"/>
  <c r="M505" i="52" s="1"/>
  <c r="M60" i="52"/>
  <c r="F419" i="52"/>
  <c r="L19" i="52"/>
  <c r="M19" i="52" s="1"/>
  <c r="K527" i="52"/>
  <c r="L527" i="52" s="1"/>
  <c r="E562" i="52"/>
  <c r="K562" i="52" s="1"/>
  <c r="L562" i="52" s="1"/>
  <c r="M562" i="52" s="1"/>
  <c r="L407" i="52"/>
  <c r="M407" i="52" s="1"/>
  <c r="D55" i="17"/>
  <c r="C84" i="53"/>
  <c r="C90" i="53" s="1"/>
  <c r="Q123" i="40"/>
  <c r="B71" i="17"/>
  <c r="B22" i="52"/>
  <c r="C23" i="17"/>
  <c r="L208" i="40"/>
  <c r="I330" i="50"/>
  <c r="B709" i="52"/>
  <c r="C77" i="17"/>
  <c r="C361" i="52"/>
  <c r="D54" i="17"/>
  <c r="B367" i="52"/>
  <c r="C60" i="17"/>
  <c r="M380" i="40"/>
  <c r="A367" i="52"/>
  <c r="B60" i="17"/>
  <c r="A361" i="52"/>
  <c r="B54" i="17"/>
  <c r="B77" i="17"/>
  <c r="C363" i="52"/>
  <c r="D56" i="17"/>
  <c r="B8" i="52"/>
  <c r="C10" i="17"/>
  <c r="B365" i="52"/>
  <c r="C58" i="17"/>
  <c r="D105" i="52"/>
  <c r="D121" i="52" s="1"/>
  <c r="E32" i="17"/>
  <c r="A368" i="52"/>
  <c r="B61" i="17"/>
  <c r="B811" i="52"/>
  <c r="A17" i="52"/>
  <c r="B21" i="17"/>
  <c r="B496" i="52"/>
  <c r="B531" i="52" s="1"/>
  <c r="C74" i="17"/>
  <c r="A364" i="52"/>
  <c r="I28" i="40"/>
  <c r="I156" i="50"/>
  <c r="I155" i="50" s="1"/>
  <c r="D711" i="52"/>
  <c r="E78" i="17"/>
  <c r="B371" i="52"/>
  <c r="C63" i="17"/>
  <c r="A706" i="52"/>
  <c r="B75" i="17"/>
  <c r="A93" i="53" s="1"/>
  <c r="A91" i="52"/>
  <c r="B24" i="17"/>
  <c r="M142" i="40"/>
  <c r="K142" i="40"/>
  <c r="B814" i="52"/>
  <c r="C84" i="17"/>
  <c r="B812" i="52"/>
  <c r="C82" i="17"/>
  <c r="D34" i="17"/>
  <c r="A433" i="52"/>
  <c r="B64" i="17"/>
  <c r="A29" i="48" s="1"/>
  <c r="D362" i="52"/>
  <c r="E55" i="17"/>
  <c r="B809" i="52"/>
  <c r="C79" i="17"/>
  <c r="M155" i="40"/>
  <c r="B706" i="52"/>
  <c r="C75" i="17"/>
  <c r="B495" i="52"/>
  <c r="B530" i="52" s="1"/>
  <c r="C73" i="17"/>
  <c r="M376" i="40"/>
  <c r="L376" i="40"/>
  <c r="B492" i="52"/>
  <c r="C71" i="17"/>
  <c r="B41" i="48" s="1"/>
  <c r="C17" i="52"/>
  <c r="D21" i="17"/>
  <c r="A371" i="52"/>
  <c r="B63" i="17"/>
  <c r="C365" i="52"/>
  <c r="D58" i="17"/>
  <c r="B363" i="52"/>
  <c r="C56" i="17"/>
  <c r="A8" i="52"/>
  <c r="B10" i="17"/>
  <c r="I321" i="50"/>
  <c r="I167" i="50"/>
  <c r="I166" i="50" s="1"/>
  <c r="B470" i="52"/>
  <c r="C69" i="17"/>
  <c r="D104" i="52"/>
  <c r="D120" i="52" s="1"/>
  <c r="E31" i="17"/>
  <c r="A470" i="52"/>
  <c r="B69" i="17"/>
  <c r="B467" i="52"/>
  <c r="C67" i="17"/>
  <c r="A257" i="52"/>
  <c r="B37" i="17"/>
  <c r="B472" i="52"/>
  <c r="C70" i="17"/>
  <c r="C366" i="52"/>
  <c r="D59" i="17"/>
  <c r="I152" i="50"/>
  <c r="A472" i="52"/>
  <c r="B70" i="17"/>
  <c r="B59" i="17"/>
  <c r="D371" i="52"/>
  <c r="E63" i="17"/>
  <c r="B368" i="52"/>
  <c r="C61" i="17"/>
  <c r="I165" i="50"/>
  <c r="A531" i="52"/>
  <c r="B74" i="17"/>
  <c r="D107" i="52"/>
  <c r="D123" i="52" s="1"/>
  <c r="E34" i="17"/>
  <c r="B23" i="17"/>
  <c r="A22" i="52"/>
  <c r="I345" i="50"/>
  <c r="I338" i="50"/>
  <c r="D61" i="17"/>
  <c r="C51" i="17"/>
  <c r="B108" i="52"/>
  <c r="B124" i="52" s="1"/>
  <c r="C35" i="17"/>
  <c r="C36" i="17" s="1"/>
  <c r="A108" i="52"/>
  <c r="A124" i="52" s="1"/>
  <c r="B35" i="17"/>
  <c r="B36" i="17" s="1"/>
  <c r="B362" i="52"/>
  <c r="C55" i="17"/>
  <c r="D60" i="17"/>
  <c r="E120" i="52"/>
  <c r="K120" i="52" s="1"/>
  <c r="L120" i="52" s="1"/>
  <c r="D62" i="17"/>
  <c r="C369" i="52"/>
  <c r="C364" i="52"/>
  <c r="D57" i="17"/>
  <c r="C41" i="17"/>
  <c r="B264" i="52"/>
  <c r="I299" i="50"/>
  <c r="S201" i="51"/>
  <c r="B364" i="52"/>
  <c r="C57" i="17"/>
  <c r="M208" i="40"/>
  <c r="B7" i="17"/>
  <c r="I144" i="50"/>
  <c r="B366" i="52"/>
  <c r="C59" i="17"/>
  <c r="B361" i="52"/>
  <c r="M317" i="51"/>
  <c r="M316" i="51" s="1"/>
  <c r="I328" i="50"/>
  <c r="I327" i="50" s="1"/>
  <c r="I319" i="50"/>
  <c r="I147" i="50"/>
  <c r="I325" i="50"/>
  <c r="I279" i="50"/>
  <c r="I221" i="50"/>
  <c r="I208" i="50"/>
  <c r="M52" i="51"/>
  <c r="C16" i="52"/>
  <c r="D20" i="17"/>
  <c r="I309" i="50"/>
  <c r="I210" i="50"/>
  <c r="L63" i="51"/>
  <c r="M63" i="51"/>
  <c r="L52" i="51"/>
  <c r="A18" i="52"/>
  <c r="B22" i="17"/>
  <c r="B16" i="52"/>
  <c r="C20" i="17"/>
  <c r="B34" i="17"/>
  <c r="K58" i="51"/>
  <c r="K122" i="50"/>
  <c r="I200" i="50"/>
  <c r="I202" i="50"/>
  <c r="I121" i="50"/>
  <c r="S208" i="51"/>
  <c r="S207" i="51" s="1"/>
  <c r="R208" i="51"/>
  <c r="R207" i="51" s="1"/>
  <c r="K153" i="51"/>
  <c r="L153" i="51"/>
  <c r="M153" i="51"/>
  <c r="L72" i="51"/>
  <c r="M72" i="51"/>
  <c r="L27" i="51"/>
  <c r="M67" i="51"/>
  <c r="S173" i="51"/>
  <c r="S172" i="51" s="1"/>
  <c r="M119" i="51"/>
  <c r="L67" i="51"/>
  <c r="L119" i="51"/>
  <c r="K119" i="51"/>
  <c r="Q302" i="51"/>
  <c r="K117" i="51"/>
  <c r="L117" i="51"/>
  <c r="M117" i="51"/>
  <c r="L28" i="51"/>
  <c r="L13" i="51" s="1"/>
  <c r="K106" i="51"/>
  <c r="Q152" i="51"/>
  <c r="M74" i="51"/>
  <c r="M113" i="51"/>
  <c r="L113" i="51"/>
  <c r="R55" i="51"/>
  <c r="K108" i="51"/>
  <c r="L108" i="51"/>
  <c r="M109" i="51"/>
  <c r="L109" i="51"/>
  <c r="K74" i="51"/>
  <c r="K53" i="51"/>
  <c r="L53" i="51"/>
  <c r="M53" i="51"/>
  <c r="K109" i="51"/>
  <c r="M27" i="51"/>
  <c r="L140" i="51"/>
  <c r="L139" i="51" s="1"/>
  <c r="L106" i="51"/>
  <c r="L120" i="51"/>
  <c r="M107" i="51"/>
  <c r="Q111" i="51"/>
  <c r="L107" i="51"/>
  <c r="L66" i="51"/>
  <c r="M108" i="51"/>
  <c r="L84" i="51"/>
  <c r="L55" i="51"/>
  <c r="K84" i="51"/>
  <c r="K55" i="51"/>
  <c r="M65" i="51"/>
  <c r="M60" i="51" s="1"/>
  <c r="C28" i="17"/>
  <c r="B236" i="52"/>
  <c r="M86" i="21"/>
  <c r="G118" i="52" s="1"/>
  <c r="E46" i="52"/>
  <c r="E44" i="52"/>
  <c r="E73" i="52" s="1"/>
  <c r="K73" i="52" s="1"/>
  <c r="L73" i="52" s="1"/>
  <c r="M73" i="52" s="1"/>
  <c r="E47" i="52"/>
  <c r="E84" i="52" s="1"/>
  <c r="K84" i="52" s="1"/>
  <c r="E45" i="52"/>
  <c r="E82" i="52" s="1"/>
  <c r="K82" i="52" s="1"/>
  <c r="N83" i="52"/>
  <c r="I275" i="50"/>
  <c r="E74" i="52"/>
  <c r="K74" i="52" s="1"/>
  <c r="L74" i="52" s="1"/>
  <c r="M74" i="52" s="1"/>
  <c r="K45" i="52"/>
  <c r="L45" i="52" s="1"/>
  <c r="E66" i="52"/>
  <c r="K66" i="52" s="1"/>
  <c r="L66" i="52" s="1"/>
  <c r="E83" i="52"/>
  <c r="K83" i="52" s="1"/>
  <c r="L83" i="52" s="1"/>
  <c r="J243" i="51"/>
  <c r="K243" i="51" s="1"/>
  <c r="K242" i="51" s="1"/>
  <c r="J468" i="40"/>
  <c r="J242" i="51"/>
  <c r="J467" i="40"/>
  <c r="L104" i="52"/>
  <c r="M104" i="52" s="1"/>
  <c r="B93" i="53"/>
  <c r="B47" i="48"/>
  <c r="B78" i="53"/>
  <c r="B35" i="48"/>
  <c r="A7" i="53"/>
  <c r="A7" i="48"/>
  <c r="E72" i="52"/>
  <c r="K72" i="52" s="1"/>
  <c r="L72" i="52" s="1"/>
  <c r="E75" i="52"/>
  <c r="K75" i="52" s="1"/>
  <c r="L75" i="52" s="1"/>
  <c r="M75" i="52" s="1"/>
  <c r="E71" i="52"/>
  <c r="K71" i="52" s="1"/>
  <c r="L71" i="52" s="1"/>
  <c r="M71" i="52" s="1"/>
  <c r="E422" i="52"/>
  <c r="K422" i="52" s="1"/>
  <c r="M467" i="40"/>
  <c r="AB74" i="17" s="1"/>
  <c r="AH74" i="17" s="1"/>
  <c r="L468" i="40"/>
  <c r="L467" i="40" s="1"/>
  <c r="Q74" i="17" s="1"/>
  <c r="W74" i="17" s="1"/>
  <c r="M243" i="51"/>
  <c r="M242" i="51" s="1"/>
  <c r="L243" i="51"/>
  <c r="L242" i="51" s="1"/>
  <c r="F277" i="52"/>
  <c r="F287" i="52"/>
  <c r="F85" i="53"/>
  <c r="F288" i="52"/>
  <c r="F425" i="52"/>
  <c r="F422" i="52"/>
  <c r="F413" i="52"/>
  <c r="G114" i="52"/>
  <c r="G116" i="52"/>
  <c r="N86" i="21"/>
  <c r="J226" i="21"/>
  <c r="B18" i="48"/>
  <c r="B257" i="52"/>
  <c r="K117" i="21"/>
  <c r="J117" i="21"/>
  <c r="L117" i="21"/>
  <c r="J147" i="21"/>
  <c r="L147" i="21"/>
  <c r="K147" i="21"/>
  <c r="F84" i="52"/>
  <c r="F284" i="52"/>
  <c r="F68" i="52"/>
  <c r="F72" i="52"/>
  <c r="F88" i="52"/>
  <c r="F80" i="52"/>
  <c r="F279" i="52"/>
  <c r="K169" i="21"/>
  <c r="K145" i="21"/>
  <c r="K165" i="21"/>
  <c r="L165" i="21"/>
  <c r="J165" i="21"/>
  <c r="F79" i="52"/>
  <c r="F87" i="52"/>
  <c r="F285" i="52"/>
  <c r="F83" i="52"/>
  <c r="F426" i="52"/>
  <c r="F421" i="52"/>
  <c r="J51" i="21"/>
  <c r="F71" i="52"/>
  <c r="F278" i="52"/>
  <c r="F280" i="52"/>
  <c r="L51" i="21"/>
  <c r="E33" i="26"/>
  <c r="I33" i="26" s="1"/>
  <c r="J33" i="26" s="1"/>
  <c r="D5" i="39" s="1"/>
  <c r="H33" i="26"/>
  <c r="H32" i="26"/>
  <c r="L376" i="52"/>
  <c r="M376" i="52" s="1"/>
  <c r="E9" i="26"/>
  <c r="I9" i="26" s="1"/>
  <c r="H9" i="26"/>
  <c r="H48" i="26"/>
  <c r="K21" i="50"/>
  <c r="H64" i="26"/>
  <c r="I64" i="26" s="1"/>
  <c r="J64" i="26" s="1"/>
  <c r="K336" i="50"/>
  <c r="K58" i="50"/>
  <c r="Q160" i="51"/>
  <c r="G70" i="22"/>
  <c r="I70" i="22" s="1"/>
  <c r="G42" i="22"/>
  <c r="I42" i="22" s="1"/>
  <c r="G102" i="22"/>
  <c r="I102" i="22" s="1"/>
  <c r="G9" i="22"/>
  <c r="I9" i="22" s="1"/>
  <c r="G153" i="22"/>
  <c r="I153" i="22" s="1"/>
  <c r="G116" i="22"/>
  <c r="I116" i="22" s="1"/>
  <c r="G129" i="22"/>
  <c r="I129" i="22" s="1"/>
  <c r="J103" i="52"/>
  <c r="K94" i="21"/>
  <c r="J94" i="21"/>
  <c r="K208" i="21"/>
  <c r="N208" i="21"/>
  <c r="M208" i="21"/>
  <c r="K142" i="21"/>
  <c r="J142" i="21"/>
  <c r="L142" i="21"/>
  <c r="K16" i="21"/>
  <c r="J16" i="21"/>
  <c r="J8" i="52" s="1"/>
  <c r="L16" i="21"/>
  <c r="K23" i="17" s="1"/>
  <c r="K52" i="21"/>
  <c r="L52" i="21"/>
  <c r="J52" i="21"/>
  <c r="J7" i="21"/>
  <c r="K7" i="21"/>
  <c r="L56" i="21"/>
  <c r="J56" i="21"/>
  <c r="K50" i="21"/>
  <c r="L50" i="21"/>
  <c r="L134" i="21"/>
  <c r="J134" i="21"/>
  <c r="L6" i="21"/>
  <c r="K6" i="21"/>
  <c r="J55" i="21"/>
  <c r="L55" i="21"/>
  <c r="K55" i="21"/>
  <c r="L7" i="21"/>
  <c r="J50" i="21"/>
  <c r="K241" i="21"/>
  <c r="J241" i="21"/>
  <c r="K187" i="21"/>
  <c r="J187" i="21"/>
  <c r="L187" i="21"/>
  <c r="L183" i="21"/>
  <c r="L115" i="21"/>
  <c r="J115" i="21"/>
  <c r="K115" i="21"/>
  <c r="K8" i="21"/>
  <c r="K56" i="21"/>
  <c r="G119" i="52"/>
  <c r="N89" i="21"/>
  <c r="J10" i="52"/>
  <c r="J9" i="52"/>
  <c r="J51" i="52"/>
  <c r="J50" i="52"/>
  <c r="L86" i="21"/>
  <c r="L89" i="21" s="1"/>
  <c r="I52" i="52"/>
  <c r="I62" i="52"/>
  <c r="I49" i="52"/>
  <c r="I50" i="52"/>
  <c r="I51" i="52"/>
  <c r="I48" i="52"/>
  <c r="I8" i="52"/>
  <c r="I9" i="52"/>
  <c r="I10" i="52"/>
  <c r="K21" i="21"/>
  <c r="K35" i="21" s="1"/>
  <c r="K20" i="21"/>
  <c r="K34" i="21" s="1"/>
  <c r="K22" i="21"/>
  <c r="K33" i="21" s="1"/>
  <c r="K27" i="21"/>
  <c r="G27" i="52" s="1"/>
  <c r="G11" i="52"/>
  <c r="K31" i="21"/>
  <c r="K26" i="21"/>
  <c r="H16" i="17" s="1"/>
  <c r="K23" i="21"/>
  <c r="G15" i="52"/>
  <c r="J10" i="21" l="1"/>
  <c r="K10" i="21"/>
  <c r="L10" i="21"/>
  <c r="J139" i="21"/>
  <c r="K164" i="21"/>
  <c r="L164" i="21"/>
  <c r="L139" i="21"/>
  <c r="S84" i="51"/>
  <c r="Q319" i="51"/>
  <c r="Q318" i="51" s="1"/>
  <c r="R447" i="40"/>
  <c r="Q447" i="40"/>
  <c r="Q435" i="40"/>
  <c r="R197" i="51"/>
  <c r="Q189" i="51"/>
  <c r="R189" i="51"/>
  <c r="S189" i="51"/>
  <c r="Q186" i="51"/>
  <c r="S186" i="51"/>
  <c r="Q163" i="51"/>
  <c r="Q313" i="40"/>
  <c r="R313" i="40"/>
  <c r="S313" i="40"/>
  <c r="K226" i="50"/>
  <c r="S125" i="51"/>
  <c r="Q125" i="51"/>
  <c r="R125" i="51"/>
  <c r="S378" i="40"/>
  <c r="Q374" i="40"/>
  <c r="J30" i="49"/>
  <c r="P30" i="49"/>
  <c r="F442" i="52"/>
  <c r="F443" i="52"/>
  <c r="G126" i="22"/>
  <c r="I126" i="22" s="1"/>
  <c r="R203" i="51"/>
  <c r="K338" i="50"/>
  <c r="K145" i="50"/>
  <c r="E67" i="52"/>
  <c r="K67" i="52" s="1"/>
  <c r="L67" i="52" s="1"/>
  <c r="K46" i="52"/>
  <c r="L46" i="52" s="1"/>
  <c r="E421" i="52"/>
  <c r="K421" i="52" s="1"/>
  <c r="L421" i="52" s="1"/>
  <c r="M421" i="52" s="1"/>
  <c r="E79" i="52"/>
  <c r="K79" i="52" s="1"/>
  <c r="L79" i="52" s="1"/>
  <c r="M79" i="52" s="1"/>
  <c r="E87" i="52"/>
  <c r="K87" i="52" s="1"/>
  <c r="R63" i="51"/>
  <c r="S62" i="51"/>
  <c r="Q119" i="51"/>
  <c r="Q309" i="51"/>
  <c r="R173" i="51"/>
  <c r="R172" i="51" s="1"/>
  <c r="K298" i="50"/>
  <c r="K120" i="50"/>
  <c r="K34" i="50"/>
  <c r="S393" i="40"/>
  <c r="I154" i="50"/>
  <c r="S321" i="40"/>
  <c r="Q318" i="40"/>
  <c r="S124" i="40"/>
  <c r="R40" i="51"/>
  <c r="S449" i="40"/>
  <c r="R392" i="40"/>
  <c r="K389" i="40"/>
  <c r="L389" i="40"/>
  <c r="S382" i="40"/>
  <c r="Q27" i="49"/>
  <c r="G27" i="49"/>
  <c r="I27" i="49" s="1"/>
  <c r="K169" i="50"/>
  <c r="K500" i="52"/>
  <c r="L500" i="52" s="1"/>
  <c r="M500" i="52" s="1"/>
  <c r="E535" i="52"/>
  <c r="K535" i="52" s="1"/>
  <c r="L535" i="52" s="1"/>
  <c r="M535" i="52" s="1"/>
  <c r="K146" i="50"/>
  <c r="R389" i="40"/>
  <c r="S126" i="40"/>
  <c r="K136" i="50"/>
  <c r="Q105" i="51"/>
  <c r="K236" i="50"/>
  <c r="Q382" i="40"/>
  <c r="R110" i="40"/>
  <c r="Q492" i="40"/>
  <c r="K218" i="50"/>
  <c r="K216" i="50" s="1"/>
  <c r="Q71" i="51"/>
  <c r="K61" i="40"/>
  <c r="S394" i="40"/>
  <c r="K319" i="50"/>
  <c r="K305" i="50"/>
  <c r="K72" i="50"/>
  <c r="S203" i="51"/>
  <c r="R202" i="51"/>
  <c r="Q226" i="51"/>
  <c r="Q149" i="51"/>
  <c r="Q195" i="51"/>
  <c r="Q232" i="51"/>
  <c r="Q116" i="51"/>
  <c r="R312" i="51"/>
  <c r="R311" i="51" s="1"/>
  <c r="S73" i="51"/>
  <c r="K197" i="50"/>
  <c r="R123" i="40"/>
  <c r="Q304" i="51"/>
  <c r="R109" i="40"/>
  <c r="K61" i="50"/>
  <c r="Q204" i="51"/>
  <c r="S110" i="40"/>
  <c r="Q490" i="40"/>
  <c r="K113" i="50"/>
  <c r="S71" i="51"/>
  <c r="S502" i="40"/>
  <c r="K26" i="40"/>
  <c r="K321" i="50"/>
  <c r="Q112" i="40"/>
  <c r="K290" i="50"/>
  <c r="K252" i="50"/>
  <c r="Q173" i="51"/>
  <c r="Q172" i="51" s="1"/>
  <c r="R195" i="51"/>
  <c r="R232" i="51"/>
  <c r="S122" i="51"/>
  <c r="S123" i="40"/>
  <c r="Q245" i="51"/>
  <c r="Q244" i="51" s="1"/>
  <c r="K47" i="50"/>
  <c r="S125" i="40"/>
  <c r="Q325" i="40"/>
  <c r="P69" i="17" s="1"/>
  <c r="R428" i="40"/>
  <c r="R490" i="40"/>
  <c r="R71" i="51"/>
  <c r="S161" i="40"/>
  <c r="S160" i="40" s="1"/>
  <c r="S159" i="40" s="1"/>
  <c r="R112" i="40"/>
  <c r="R140" i="40"/>
  <c r="K127" i="50"/>
  <c r="K345" i="50"/>
  <c r="K279" i="50"/>
  <c r="Q138" i="51"/>
  <c r="Q137" i="51" s="1"/>
  <c r="K302" i="50"/>
  <c r="Q233" i="51"/>
  <c r="S195" i="51"/>
  <c r="R151" i="51"/>
  <c r="R188" i="51"/>
  <c r="Q35" i="51"/>
  <c r="K53" i="40"/>
  <c r="Q317" i="51"/>
  <c r="Q316" i="51" s="1"/>
  <c r="K316" i="50"/>
  <c r="Q296" i="51"/>
  <c r="Q125" i="40"/>
  <c r="Q337" i="40"/>
  <c r="Q502" i="40"/>
  <c r="S521" i="40"/>
  <c r="R500" i="40"/>
  <c r="R429" i="40"/>
  <c r="R384" i="40"/>
  <c r="Q520" i="40"/>
  <c r="S519" i="40"/>
  <c r="R519" i="40"/>
  <c r="R394" i="40"/>
  <c r="K234" i="50"/>
  <c r="K39" i="40"/>
  <c r="K76" i="40"/>
  <c r="P18" i="17" s="1"/>
  <c r="K284" i="50"/>
  <c r="K147" i="50"/>
  <c r="S222" i="51"/>
  <c r="K296" i="50"/>
  <c r="R233" i="51"/>
  <c r="Q132" i="51"/>
  <c r="Q67" i="51"/>
  <c r="S151" i="51"/>
  <c r="S35" i="51"/>
  <c r="Q72" i="51"/>
  <c r="Q120" i="51"/>
  <c r="K314" i="50"/>
  <c r="K213" i="50"/>
  <c r="R317" i="51"/>
  <c r="R316" i="51" s="1"/>
  <c r="R313" i="51"/>
  <c r="R296" i="51"/>
  <c r="R304" i="51"/>
  <c r="R125" i="40"/>
  <c r="R337" i="40"/>
  <c r="S500" i="40"/>
  <c r="S429" i="40"/>
  <c r="S377" i="40"/>
  <c r="K152" i="50"/>
  <c r="Q109" i="40"/>
  <c r="K245" i="50"/>
  <c r="K221" i="50"/>
  <c r="K121" i="50"/>
  <c r="Q58" i="51"/>
  <c r="Q134" i="51"/>
  <c r="K243" i="50"/>
  <c r="S233" i="51"/>
  <c r="R67" i="51"/>
  <c r="Q151" i="51"/>
  <c r="Q106" i="51"/>
  <c r="S292" i="51"/>
  <c r="R72" i="51"/>
  <c r="R107" i="51"/>
  <c r="R230" i="51"/>
  <c r="K159" i="50"/>
  <c r="R135" i="51"/>
  <c r="S304" i="51"/>
  <c r="Q168" i="51"/>
  <c r="Q117" i="51"/>
  <c r="S106" i="51"/>
  <c r="S296" i="51"/>
  <c r="S120" i="51"/>
  <c r="S337" i="40"/>
  <c r="R521" i="40"/>
  <c r="S503" i="40"/>
  <c r="K28" i="40"/>
  <c r="K156" i="50"/>
  <c r="K155" i="50" s="1"/>
  <c r="S225" i="51"/>
  <c r="S315" i="51"/>
  <c r="Q315" i="51"/>
  <c r="K320" i="50"/>
  <c r="K160" i="50"/>
  <c r="K329" i="50"/>
  <c r="K230" i="50"/>
  <c r="S67" i="51"/>
  <c r="Q84" i="51"/>
  <c r="Q241" i="51"/>
  <c r="Q41" i="51"/>
  <c r="R124" i="51"/>
  <c r="R114" i="51"/>
  <c r="R66" i="51"/>
  <c r="Q324" i="40"/>
  <c r="R136" i="51"/>
  <c r="Q122" i="51"/>
  <c r="Q135" i="51"/>
  <c r="Q121" i="51"/>
  <c r="R117" i="51"/>
  <c r="K142" i="50"/>
  <c r="Q320" i="40"/>
  <c r="S293" i="51"/>
  <c r="R124" i="40"/>
  <c r="Q466" i="40"/>
  <c r="S139" i="40"/>
  <c r="K220" i="50"/>
  <c r="R492" i="40"/>
  <c r="Q375" i="40"/>
  <c r="K53" i="50"/>
  <c r="K335" i="50"/>
  <c r="Q293" i="51"/>
  <c r="Q140" i="51"/>
  <c r="Q139" i="51" s="1"/>
  <c r="K224" i="50"/>
  <c r="S83" i="51"/>
  <c r="S82" i="51" s="1"/>
  <c r="R84" i="51"/>
  <c r="R241" i="51"/>
  <c r="R41" i="51"/>
  <c r="Q65" i="51"/>
  <c r="S114" i="51"/>
  <c r="R109" i="51"/>
  <c r="Q49" i="51"/>
  <c r="S66" i="51"/>
  <c r="K333" i="50"/>
  <c r="K332" i="50" s="1"/>
  <c r="K331" i="50" s="1"/>
  <c r="S135" i="51"/>
  <c r="Q29" i="51"/>
  <c r="R142" i="40"/>
  <c r="Q124" i="40"/>
  <c r="Q441" i="40"/>
  <c r="R466" i="40"/>
  <c r="K40" i="40"/>
  <c r="R502" i="40"/>
  <c r="R148" i="40"/>
  <c r="R153" i="40"/>
  <c r="Q426" i="40"/>
  <c r="K115" i="50"/>
  <c r="Q142" i="40"/>
  <c r="K202" i="50"/>
  <c r="S317" i="51"/>
  <c r="S316" i="51" s="1"/>
  <c r="S52" i="51"/>
  <c r="S110" i="51"/>
  <c r="R140" i="51"/>
  <c r="R139" i="51" s="1"/>
  <c r="K151" i="50"/>
  <c r="S228" i="51"/>
  <c r="R27" i="51"/>
  <c r="R65" i="51"/>
  <c r="Q55" i="51"/>
  <c r="S109" i="51"/>
  <c r="Q62" i="51"/>
  <c r="Q60" i="51" s="1"/>
  <c r="R49" i="51"/>
  <c r="Q66" i="51"/>
  <c r="K325" i="50"/>
  <c r="R186" i="51"/>
  <c r="S202" i="51"/>
  <c r="S200" i="51" s="1"/>
  <c r="S199" i="51" s="1"/>
  <c r="K32" i="21"/>
  <c r="G14" i="22"/>
  <c r="I14" i="22" s="1"/>
  <c r="S204" i="51"/>
  <c r="K232" i="50"/>
  <c r="K346" i="50"/>
  <c r="K334" i="50"/>
  <c r="E80" i="52"/>
  <c r="K80" i="52" s="1"/>
  <c r="Q100" i="51"/>
  <c r="Q312" i="51"/>
  <c r="R153" i="51"/>
  <c r="S243" i="51"/>
  <c r="S242" i="51" s="1"/>
  <c r="Q208" i="51"/>
  <c r="Q207" i="51" s="1"/>
  <c r="K299" i="50"/>
  <c r="K25" i="40"/>
  <c r="Q127" i="40"/>
  <c r="S149" i="40"/>
  <c r="Q393" i="40"/>
  <c r="R208" i="40"/>
  <c r="S466" i="40"/>
  <c r="S184" i="51"/>
  <c r="D496" i="52"/>
  <c r="D531" i="52" s="1"/>
  <c r="E74" i="17"/>
  <c r="R431" i="40"/>
  <c r="C24" i="17"/>
  <c r="B91" i="52"/>
  <c r="K214" i="50"/>
  <c r="K196" i="50"/>
  <c r="Q63" i="51"/>
  <c r="R321" i="40"/>
  <c r="B17" i="52"/>
  <c r="C21" i="17"/>
  <c r="G99" i="22"/>
  <c r="I99" i="22" s="1"/>
  <c r="S210" i="51"/>
  <c r="S209" i="51" s="1"/>
  <c r="K283" i="50"/>
  <c r="R203" i="40"/>
  <c r="R336" i="40"/>
  <c r="S49" i="51"/>
  <c r="S169" i="51"/>
  <c r="Q153" i="51"/>
  <c r="Q376" i="40"/>
  <c r="Q153" i="40"/>
  <c r="S198" i="40"/>
  <c r="S441" i="40"/>
  <c r="Q431" i="40"/>
  <c r="S206" i="51"/>
  <c r="S428" i="40"/>
  <c r="K235" i="50"/>
  <c r="K223" i="50"/>
  <c r="Q53" i="51"/>
  <c r="Q40" i="51"/>
  <c r="Q37" i="51"/>
  <c r="R393" i="40"/>
  <c r="A98" i="52"/>
  <c r="A114" i="52" s="1"/>
  <c r="B28" i="17"/>
  <c r="G79" i="22"/>
  <c r="I79" i="22" s="1"/>
  <c r="K285" i="50"/>
  <c r="S487" i="40"/>
  <c r="S56" i="51"/>
  <c r="R332" i="40"/>
  <c r="I100" i="50"/>
  <c r="K208" i="50"/>
  <c r="S112" i="40"/>
  <c r="R130" i="40"/>
  <c r="S130" i="40"/>
  <c r="Q39" i="49"/>
  <c r="S39" i="49" s="1"/>
  <c r="U39" i="49" s="1"/>
  <c r="S38" i="49"/>
  <c r="U38" i="49" s="1"/>
  <c r="S70" i="51"/>
  <c r="K129" i="50"/>
  <c r="Q503" i="40"/>
  <c r="G39" i="22"/>
  <c r="I39" i="22" s="1"/>
  <c r="R293" i="51"/>
  <c r="K41" i="40"/>
  <c r="R101" i="51"/>
  <c r="S197" i="51"/>
  <c r="R301" i="51"/>
  <c r="R226" i="51"/>
  <c r="R170" i="51"/>
  <c r="K144" i="50"/>
  <c r="S234" i="51"/>
  <c r="Q391" i="40"/>
  <c r="R56" i="51"/>
  <c r="K75" i="40"/>
  <c r="P17" i="17" s="1"/>
  <c r="S334" i="40"/>
  <c r="K317" i="50"/>
  <c r="Q519" i="40"/>
  <c r="M501" i="40"/>
  <c r="K303" i="50"/>
  <c r="K300" i="50"/>
  <c r="K288" i="50"/>
  <c r="S134" i="51"/>
  <c r="Q124" i="51"/>
  <c r="S119" i="51"/>
  <c r="Q113" i="51"/>
  <c r="R113" i="51"/>
  <c r="S113" i="51"/>
  <c r="L110" i="51"/>
  <c r="R110" i="51"/>
  <c r="Q108" i="51"/>
  <c r="R108" i="51"/>
  <c r="S108" i="51"/>
  <c r="M101" i="51"/>
  <c r="L101" i="51"/>
  <c r="L100" i="51"/>
  <c r="R100" i="51"/>
  <c r="R83" i="51"/>
  <c r="R82" i="51" s="1"/>
  <c r="L83" i="51"/>
  <c r="L82" i="51" s="1"/>
  <c r="Q74" i="51"/>
  <c r="R74" i="51"/>
  <c r="S74" i="51"/>
  <c r="R70" i="51"/>
  <c r="L70" i="51"/>
  <c r="L65" i="51"/>
  <c r="L60" i="51" s="1"/>
  <c r="K65" i="51"/>
  <c r="K60" i="51" s="1"/>
  <c r="K161" i="50"/>
  <c r="S227" i="51"/>
  <c r="R487" i="40"/>
  <c r="Q188" i="51"/>
  <c r="Q169" i="51"/>
  <c r="S301" i="51"/>
  <c r="R315" i="51"/>
  <c r="R52" i="51"/>
  <c r="S170" i="51"/>
  <c r="S153" i="40"/>
  <c r="G60" i="22"/>
  <c r="K56" i="50"/>
  <c r="R221" i="40"/>
  <c r="R220" i="40" s="1"/>
  <c r="R219" i="40" s="1"/>
  <c r="S68" i="51"/>
  <c r="Q101" i="51"/>
  <c r="S65" i="51"/>
  <c r="S59" i="51"/>
  <c r="K313" i="50"/>
  <c r="Q170" i="51"/>
  <c r="K123" i="50"/>
  <c r="R439" i="40"/>
  <c r="Q56" i="51"/>
  <c r="K30" i="40"/>
  <c r="R68" i="51"/>
  <c r="R292" i="51"/>
  <c r="R427" i="40"/>
  <c r="B810" i="52"/>
  <c r="C80" i="17"/>
  <c r="B711" i="52"/>
  <c r="C78" i="17"/>
  <c r="D709" i="52"/>
  <c r="E77" i="17"/>
  <c r="K361" i="50"/>
  <c r="I292" i="50"/>
  <c r="K292" i="50"/>
  <c r="I286" i="50"/>
  <c r="K286" i="50"/>
  <c r="S149" i="51"/>
  <c r="S138" i="51"/>
  <c r="S137" i="51" s="1"/>
  <c r="M138" i="51"/>
  <c r="M137" i="51" s="1"/>
  <c r="R134" i="51"/>
  <c r="M116" i="51"/>
  <c r="Q110" i="51"/>
  <c r="M105" i="51"/>
  <c r="S101" i="51"/>
  <c r="K96" i="51"/>
  <c r="K98" i="51"/>
  <c r="Q83" i="51"/>
  <c r="Q82" i="51" s="1"/>
  <c r="K83" i="51"/>
  <c r="K82" i="51" s="1"/>
  <c r="B41" i="53"/>
  <c r="B30" i="53"/>
  <c r="S309" i="51"/>
  <c r="S63" i="51"/>
  <c r="K247" i="50"/>
  <c r="H67" i="26"/>
  <c r="I67" i="26" s="1"/>
  <c r="J67" i="26" s="1"/>
  <c r="R29" i="51"/>
  <c r="S105" i="51"/>
  <c r="R116" i="51"/>
  <c r="K14" i="50"/>
  <c r="R59" i="51"/>
  <c r="R198" i="51"/>
  <c r="R294" i="51"/>
  <c r="K295" i="50"/>
  <c r="M382" i="40"/>
  <c r="R378" i="40"/>
  <c r="Q439" i="40"/>
  <c r="S430" i="40"/>
  <c r="R202" i="40"/>
  <c r="Q315" i="40"/>
  <c r="S29" i="51"/>
  <c r="R122" i="51"/>
  <c r="K68" i="50"/>
  <c r="S520" i="40"/>
  <c r="S518" i="40" s="1"/>
  <c r="AL78" i="17" s="1"/>
  <c r="A711" i="52"/>
  <c r="S492" i="40"/>
  <c r="S332" i="40"/>
  <c r="M332" i="40"/>
  <c r="S315" i="40"/>
  <c r="M15" i="49"/>
  <c r="O15" i="49" s="1"/>
  <c r="J13" i="49"/>
  <c r="P13" i="49"/>
  <c r="S13" i="49" s="1"/>
  <c r="U13" i="49" s="1"/>
  <c r="S245" i="51"/>
  <c r="S244" i="51" s="1"/>
  <c r="Q243" i="51"/>
  <c r="Q242" i="51" s="1"/>
  <c r="R243" i="51"/>
  <c r="R242" i="51" s="1"/>
  <c r="R234" i="51"/>
  <c r="R259" i="51" s="1"/>
  <c r="R228" i="51"/>
  <c r="R225" i="51"/>
  <c r="R222" i="51"/>
  <c r="S188" i="51"/>
  <c r="R152" i="51"/>
  <c r="R149" i="51"/>
  <c r="R138" i="51"/>
  <c r="R137" i="51" s="1"/>
  <c r="K188" i="50"/>
  <c r="K359" i="50"/>
  <c r="K133" i="50"/>
  <c r="Q73" i="51"/>
  <c r="Q59" i="51"/>
  <c r="K37" i="50"/>
  <c r="Q46" i="49"/>
  <c r="S45" i="49"/>
  <c r="U45" i="49" s="1"/>
  <c r="S240" i="51"/>
  <c r="Q240" i="51"/>
  <c r="R192" i="51"/>
  <c r="K255" i="50"/>
  <c r="S128" i="51"/>
  <c r="Q128" i="51"/>
  <c r="R128" i="51"/>
  <c r="R319" i="40"/>
  <c r="L319" i="40"/>
  <c r="L315" i="40"/>
  <c r="R315" i="40"/>
  <c r="A436" i="52"/>
  <c r="B66" i="17"/>
  <c r="S201" i="40"/>
  <c r="B107" i="52"/>
  <c r="B123" i="52" s="1"/>
  <c r="C34" i="17"/>
  <c r="I138" i="50"/>
  <c r="K138" i="50"/>
  <c r="K132" i="50"/>
  <c r="K130" i="50" s="1"/>
  <c r="I132" i="50"/>
  <c r="I130" i="50" s="1"/>
  <c r="K64" i="50"/>
  <c r="K55" i="50"/>
  <c r="K52" i="50"/>
  <c r="K46" i="50"/>
  <c r="S313" i="51"/>
  <c r="S311" i="51" s="1"/>
  <c r="Q294" i="51"/>
  <c r="R245" i="51"/>
  <c r="R244" i="51" s="1"/>
  <c r="Q234" i="51"/>
  <c r="Q228" i="51"/>
  <c r="Q259" i="51" s="1"/>
  <c r="Q225" i="51"/>
  <c r="Q222" i="51"/>
  <c r="N262" i="52"/>
  <c r="N263" i="52"/>
  <c r="N284" i="52" s="1"/>
  <c r="K344" i="50"/>
  <c r="K343" i="50" s="1"/>
  <c r="S316" i="40"/>
  <c r="S132" i="51"/>
  <c r="R35" i="51"/>
  <c r="R210" i="51"/>
  <c r="R209" i="51" s="1"/>
  <c r="S193" i="51"/>
  <c r="Q198" i="51"/>
  <c r="K286" i="40"/>
  <c r="N87" i="52"/>
  <c r="N75" i="52"/>
  <c r="N421" i="52"/>
  <c r="K212" i="50"/>
  <c r="Q103" i="51"/>
  <c r="S103" i="51"/>
  <c r="R520" i="40"/>
  <c r="K29" i="21"/>
  <c r="G29" i="52" s="1"/>
  <c r="R119" i="51"/>
  <c r="K157" i="50"/>
  <c r="R73" i="51"/>
  <c r="Q44" i="51"/>
  <c r="Q210" i="51"/>
  <c r="Q209" i="51" s="1"/>
  <c r="R193" i="51"/>
  <c r="K101" i="50"/>
  <c r="S114" i="40"/>
  <c r="K210" i="50"/>
  <c r="R126" i="40"/>
  <c r="Q19" i="51"/>
  <c r="K66" i="50"/>
  <c r="K44" i="50"/>
  <c r="Q377" i="40"/>
  <c r="S374" i="40"/>
  <c r="Q332" i="40"/>
  <c r="Q319" i="40"/>
  <c r="D364" i="52"/>
  <c r="E57" i="17"/>
  <c r="D363" i="52"/>
  <c r="E56" i="17"/>
  <c r="D361" i="52"/>
  <c r="E54" i="17"/>
  <c r="I257" i="40"/>
  <c r="K255" i="40"/>
  <c r="R204" i="40"/>
  <c r="R201" i="40"/>
  <c r="Q149" i="40"/>
  <c r="E40" i="49"/>
  <c r="E41" i="49" s="1"/>
  <c r="G41" i="49" s="1"/>
  <c r="I41" i="49" s="1"/>
  <c r="G39" i="49"/>
  <c r="I39" i="49" s="1"/>
  <c r="E556" i="52"/>
  <c r="K556" i="52" s="1"/>
  <c r="L556" i="52" s="1"/>
  <c r="M556" i="52" s="1"/>
  <c r="K521" i="52"/>
  <c r="L521" i="52" s="1"/>
  <c r="L416" i="52"/>
  <c r="M416" i="52"/>
  <c r="L404" i="52"/>
  <c r="M404" i="52"/>
  <c r="F75" i="52"/>
  <c r="F67" i="52"/>
  <c r="S140" i="51"/>
  <c r="S139" i="51" s="1"/>
  <c r="Q203" i="40"/>
  <c r="K25" i="21"/>
  <c r="S72" i="51"/>
  <c r="R44" i="51"/>
  <c r="R105" i="51"/>
  <c r="S116" i="51"/>
  <c r="Q378" i="40"/>
  <c r="Q114" i="40"/>
  <c r="S439" i="40"/>
  <c r="K205" i="50"/>
  <c r="Q485" i="40"/>
  <c r="R201" i="51"/>
  <c r="R200" i="51" s="1"/>
  <c r="Q201" i="51"/>
  <c r="S167" i="51"/>
  <c r="R167" i="51"/>
  <c r="Q167" i="51"/>
  <c r="K191" i="50"/>
  <c r="Q184" i="51"/>
  <c r="S302" i="51"/>
  <c r="K117" i="50"/>
  <c r="K149" i="50"/>
  <c r="K239" i="50"/>
  <c r="S426" i="40"/>
  <c r="S485" i="40"/>
  <c r="K238" i="50"/>
  <c r="K237" i="50" s="1"/>
  <c r="G103" i="52"/>
  <c r="R132" i="51"/>
  <c r="S319" i="51"/>
  <c r="S318" i="51" s="1"/>
  <c r="K200" i="50"/>
  <c r="S226" i="51"/>
  <c r="R53" i="51"/>
  <c r="R111" i="51"/>
  <c r="S55" i="51"/>
  <c r="S152" i="51"/>
  <c r="R302" i="51"/>
  <c r="Q193" i="51"/>
  <c r="K309" i="50"/>
  <c r="K341" i="50"/>
  <c r="K340" i="50" s="1"/>
  <c r="K339" i="50" s="1"/>
  <c r="K276" i="50"/>
  <c r="K274" i="50" s="1"/>
  <c r="K266" i="50" s="1"/>
  <c r="K278" i="50"/>
  <c r="R426" i="40"/>
  <c r="R114" i="40"/>
  <c r="S192" i="51"/>
  <c r="K158" i="50"/>
  <c r="K304" i="50"/>
  <c r="Q230" i="51"/>
  <c r="R106" i="51"/>
  <c r="Q299" i="51"/>
  <c r="R299" i="51"/>
  <c r="S299" i="51"/>
  <c r="S483" i="40"/>
  <c r="R448" i="40"/>
  <c r="S198" i="51"/>
  <c r="Q187" i="51"/>
  <c r="S156" i="51"/>
  <c r="Q156" i="51"/>
  <c r="R156" i="51"/>
  <c r="K227" i="50"/>
  <c r="K250" i="40"/>
  <c r="K43" i="50"/>
  <c r="K26" i="50"/>
  <c r="K392" i="40"/>
  <c r="K382" i="40"/>
  <c r="R374" i="40"/>
  <c r="Q335" i="40"/>
  <c r="Q322" i="40"/>
  <c r="Q204" i="40"/>
  <c r="Q201" i="40"/>
  <c r="S27" i="49"/>
  <c r="U27" i="49" s="1"/>
  <c r="I56" i="50"/>
  <c r="I47" i="50"/>
  <c r="L116" i="51"/>
  <c r="M71" i="51"/>
  <c r="K70" i="51"/>
  <c r="C32" i="53"/>
  <c r="S295" i="51"/>
  <c r="R235" i="51"/>
  <c r="Q218" i="51"/>
  <c r="R196" i="51"/>
  <c r="Q384" i="40"/>
  <c r="Q162" i="51"/>
  <c r="Q154" i="51"/>
  <c r="S312" i="40"/>
  <c r="K251" i="50"/>
  <c r="K250" i="50" s="1"/>
  <c r="K248" i="40"/>
  <c r="S124" i="51"/>
  <c r="S41" i="51"/>
  <c r="Q128" i="40"/>
  <c r="R320" i="40"/>
  <c r="P47" i="48"/>
  <c r="J273" i="50"/>
  <c r="I218" i="50"/>
  <c r="I216" i="50" s="1"/>
  <c r="K185" i="50"/>
  <c r="I157" i="50"/>
  <c r="I145" i="50"/>
  <c r="M432" i="52"/>
  <c r="T69" i="53"/>
  <c r="E86" i="52"/>
  <c r="K86" i="52" s="1"/>
  <c r="L86" i="52" s="1"/>
  <c r="S335" i="40"/>
  <c r="Q428" i="40"/>
  <c r="N19" i="49"/>
  <c r="J271" i="50"/>
  <c r="J185" i="50"/>
  <c r="K73" i="51"/>
  <c r="A31" i="53"/>
  <c r="D30" i="53"/>
  <c r="K468" i="40"/>
  <c r="K467" i="40" s="1"/>
  <c r="R335" i="40"/>
  <c r="R441" i="40"/>
  <c r="AJ31" i="17"/>
  <c r="D15" i="48"/>
  <c r="H31" i="49"/>
  <c r="S22" i="49"/>
  <c r="U22" i="49" s="1"/>
  <c r="H18" i="49"/>
  <c r="J181" i="50"/>
  <c r="C50" i="26"/>
  <c r="C51" i="26" s="1"/>
  <c r="D51" i="26" s="1"/>
  <c r="R206" i="51"/>
  <c r="S490" i="40"/>
  <c r="D456" i="40"/>
  <c r="R456" i="40" s="1"/>
  <c r="R382" i="40"/>
  <c r="I99" i="50"/>
  <c r="I97" i="50" s="1"/>
  <c r="Q521" i="40"/>
  <c r="S389" i="40"/>
  <c r="R334" i="40"/>
  <c r="R139" i="40"/>
  <c r="M22" i="49"/>
  <c r="O22" i="49" s="1"/>
  <c r="H19" i="49"/>
  <c r="I329" i="50"/>
  <c r="I320" i="50"/>
  <c r="I206" i="50"/>
  <c r="I146" i="50"/>
  <c r="I107" i="50"/>
  <c r="M28" i="51"/>
  <c r="M13" i="51" s="1"/>
  <c r="K524" i="52"/>
  <c r="L524" i="52" s="1"/>
  <c r="M524" i="52" s="1"/>
  <c r="S319" i="40"/>
  <c r="S322" i="40"/>
  <c r="M315" i="40"/>
  <c r="B55" i="17"/>
  <c r="Q334" i="40"/>
  <c r="S325" i="40"/>
  <c r="Q139" i="40"/>
  <c r="R322" i="40"/>
  <c r="S312" i="51"/>
  <c r="Q500" i="40"/>
  <c r="S488" i="40"/>
  <c r="S440" i="40"/>
  <c r="R391" i="40"/>
  <c r="R375" i="40"/>
  <c r="S336" i="40"/>
  <c r="Q321" i="40"/>
  <c r="K244" i="50"/>
  <c r="K242" i="50" s="1"/>
  <c r="K215" i="50"/>
  <c r="Q202" i="40"/>
  <c r="Q161" i="40"/>
  <c r="Q160" i="40" s="1"/>
  <c r="Q159" i="40" s="1"/>
  <c r="Q148" i="40"/>
  <c r="S37" i="51"/>
  <c r="Q110" i="40"/>
  <c r="D480" i="40"/>
  <c r="S480" i="40" s="1"/>
  <c r="R325" i="40"/>
  <c r="S140" i="40"/>
  <c r="G19" i="49"/>
  <c r="I19" i="49" s="1"/>
  <c r="I288" i="50"/>
  <c r="I285" i="50"/>
  <c r="I168" i="50"/>
  <c r="I34" i="50"/>
  <c r="M120" i="51"/>
  <c r="D58" i="53"/>
  <c r="D57" i="53"/>
  <c r="B28" i="53"/>
  <c r="Q429" i="40"/>
  <c r="S381" i="40"/>
  <c r="R377" i="40"/>
  <c r="M17" i="49"/>
  <c r="O17" i="49" s="1"/>
  <c r="I276" i="50"/>
  <c r="I274" i="50" s="1"/>
  <c r="I49" i="50"/>
  <c r="M100" i="51"/>
  <c r="K68" i="51"/>
  <c r="L58" i="51"/>
  <c r="N398" i="52"/>
  <c r="N23" i="49"/>
  <c r="S18" i="49"/>
  <c r="U18" i="49" s="1"/>
  <c r="T13" i="49"/>
  <c r="I114" i="50"/>
  <c r="M245" i="51"/>
  <c r="M244" i="51" s="1"/>
  <c r="J44" i="45"/>
  <c r="K44" i="45"/>
  <c r="L45" i="45"/>
  <c r="K45" i="45"/>
  <c r="J45" i="45"/>
  <c r="Q227" i="51"/>
  <c r="C64" i="17"/>
  <c r="I67" i="45"/>
  <c r="J99" i="45"/>
  <c r="J170" i="45"/>
  <c r="I57" i="45"/>
  <c r="J57" i="45"/>
  <c r="H56" i="45"/>
  <c r="J67" i="45"/>
  <c r="J123" i="45"/>
  <c r="L95" i="21"/>
  <c r="K95" i="21"/>
  <c r="K136" i="21"/>
  <c r="J225" i="21"/>
  <c r="J8" i="21"/>
  <c r="L225" i="21"/>
  <c r="L116" i="21"/>
  <c r="M210" i="21"/>
  <c r="J116" i="21"/>
  <c r="K210" i="21"/>
  <c r="J497" i="52" s="1"/>
  <c r="J46" i="21"/>
  <c r="L99" i="21"/>
  <c r="L239" i="21"/>
  <c r="J239" i="21"/>
  <c r="K239" i="21"/>
  <c r="K240" i="21"/>
  <c r="I126" i="45"/>
  <c r="G83" i="22"/>
  <c r="I83" i="22" s="1"/>
  <c r="J16" i="45"/>
  <c r="L152" i="45"/>
  <c r="L240" i="21"/>
  <c r="K46" i="21"/>
  <c r="J174" i="21"/>
  <c r="J437" i="52" s="1"/>
  <c r="L246" i="21"/>
  <c r="K246" i="21"/>
  <c r="N203" i="21"/>
  <c r="K203" i="21"/>
  <c r="L203" i="21"/>
  <c r="M203" i="21"/>
  <c r="L12" i="21"/>
  <c r="J12" i="21"/>
  <c r="K12" i="21"/>
  <c r="L245" i="21"/>
  <c r="K245" i="21"/>
  <c r="J245" i="21"/>
  <c r="J243" i="21"/>
  <c r="J136" i="21"/>
  <c r="L243" i="21"/>
  <c r="G40" i="22"/>
  <c r="I40" i="22" s="1"/>
  <c r="K49" i="21"/>
  <c r="G7" i="22"/>
  <c r="I7" i="22" s="1"/>
  <c r="L138" i="21"/>
  <c r="G71" i="22"/>
  <c r="I71" i="22" s="1"/>
  <c r="L188" i="21"/>
  <c r="K138" i="21"/>
  <c r="L96" i="21"/>
  <c r="G15" i="22"/>
  <c r="I15" i="22" s="1"/>
  <c r="H20" i="45"/>
  <c r="K188" i="21"/>
  <c r="J96" i="21"/>
  <c r="G100" i="22"/>
  <c r="I100" i="22" s="1"/>
  <c r="J21" i="45"/>
  <c r="G80" i="22"/>
  <c r="I80" i="22" s="1"/>
  <c r="J222" i="21"/>
  <c r="K223" i="21"/>
  <c r="L222" i="21"/>
  <c r="L113" i="21"/>
  <c r="J188" i="45"/>
  <c r="M718" i="52"/>
  <c r="G114" i="22"/>
  <c r="I114" i="22" s="1"/>
  <c r="K141" i="21"/>
  <c r="L141" i="21"/>
  <c r="J141" i="21"/>
  <c r="K183" i="21"/>
  <c r="I37" i="45"/>
  <c r="I47" i="45"/>
  <c r="L109" i="21"/>
  <c r="K109" i="21"/>
  <c r="J19" i="45"/>
  <c r="G35" i="46"/>
  <c r="L169" i="21"/>
  <c r="I170" i="45"/>
  <c r="J9" i="45"/>
  <c r="G82" i="22"/>
  <c r="I82" i="22" s="1"/>
  <c r="G65" i="22"/>
  <c r="G57" i="22" s="1"/>
  <c r="I57" i="22" s="1"/>
  <c r="G44" i="22"/>
  <c r="I44" i="22" s="1"/>
  <c r="G18" i="22"/>
  <c r="I18" i="22" s="1"/>
  <c r="G131" i="22"/>
  <c r="I131" i="22" s="1"/>
  <c r="G118" i="22"/>
  <c r="I118" i="22" s="1"/>
  <c r="G11" i="22"/>
  <c r="I11" i="22" s="1"/>
  <c r="G167" i="22"/>
  <c r="I167" i="22" s="1"/>
  <c r="G75" i="22"/>
  <c r="I75" i="22" s="1"/>
  <c r="L210" i="21"/>
  <c r="J495" i="52" s="1"/>
  <c r="J118" i="21"/>
  <c r="L118" i="21"/>
  <c r="L226" i="21"/>
  <c r="M557" i="52"/>
  <c r="L36" i="45"/>
  <c r="J46" i="45"/>
  <c r="I188" i="45"/>
  <c r="J8" i="45"/>
  <c r="I146" i="45"/>
  <c r="M507" i="52"/>
  <c r="I99" i="45"/>
  <c r="J6" i="45"/>
  <c r="M515" i="52"/>
  <c r="G43" i="22"/>
  <c r="I43" i="22" s="1"/>
  <c r="G62" i="22"/>
  <c r="G54" i="22" s="1"/>
  <c r="I54" i="22" s="1"/>
  <c r="K227" i="21"/>
  <c r="J227" i="21"/>
  <c r="L227" i="21"/>
  <c r="K119" i="21"/>
  <c r="J119" i="21"/>
  <c r="J357" i="52" s="1"/>
  <c r="L119" i="21"/>
  <c r="L15" i="21"/>
  <c r="J15" i="21"/>
  <c r="K15" i="21"/>
  <c r="L58" i="21"/>
  <c r="J62" i="52" s="1"/>
  <c r="J58" i="21"/>
  <c r="J48" i="52" s="1"/>
  <c r="K58" i="21"/>
  <c r="J52" i="52" s="1"/>
  <c r="K247" i="21"/>
  <c r="J247" i="21"/>
  <c r="L247" i="21"/>
  <c r="L173" i="21"/>
  <c r="K173" i="21"/>
  <c r="J173" i="21"/>
  <c r="J395" i="52"/>
  <c r="J394" i="52"/>
  <c r="K111" i="21"/>
  <c r="J111" i="21"/>
  <c r="L111" i="21"/>
  <c r="K110" i="21"/>
  <c r="L110" i="21"/>
  <c r="J110" i="21"/>
  <c r="K113" i="21"/>
  <c r="L184" i="21"/>
  <c r="K45" i="21"/>
  <c r="L45" i="21"/>
  <c r="K99" i="21"/>
  <c r="K148" i="21"/>
  <c r="J398" i="52" s="1"/>
  <c r="M559" i="52"/>
  <c r="L148" i="21"/>
  <c r="J409" i="52" s="1"/>
  <c r="J184" i="21"/>
  <c r="J22" i="52"/>
  <c r="J98" i="21"/>
  <c r="L202" i="21"/>
  <c r="K98" i="21"/>
  <c r="N202" i="21"/>
  <c r="M202" i="21"/>
  <c r="D11" i="26"/>
  <c r="C12" i="26"/>
  <c r="I95" i="50"/>
  <c r="G164" i="22"/>
  <c r="I164" i="22" s="1"/>
  <c r="H35" i="26"/>
  <c r="E35" i="26"/>
  <c r="D10" i="26"/>
  <c r="Q306" i="51"/>
  <c r="R306" i="51"/>
  <c r="D237" i="51"/>
  <c r="D460" i="40"/>
  <c r="S435" i="40"/>
  <c r="R435" i="40"/>
  <c r="R219" i="51"/>
  <c r="S219" i="51"/>
  <c r="S143" i="40"/>
  <c r="P31" i="17" s="1"/>
  <c r="AA31" i="17" s="1"/>
  <c r="Q143" i="40"/>
  <c r="R143" i="40"/>
  <c r="N104" i="52" s="1"/>
  <c r="N120" i="52" s="1"/>
  <c r="M392" i="40"/>
  <c r="S392" i="40"/>
  <c r="K166" i="21"/>
  <c r="L166" i="21"/>
  <c r="N393" i="52"/>
  <c r="N390" i="52"/>
  <c r="N392" i="52"/>
  <c r="J223" i="21"/>
  <c r="G152" i="22"/>
  <c r="I152" i="22" s="1"/>
  <c r="B99" i="53"/>
  <c r="B53" i="48"/>
  <c r="G63" i="22"/>
  <c r="I63" i="22" s="1"/>
  <c r="G73" i="22"/>
  <c r="I73" i="22" s="1"/>
  <c r="D50" i="26"/>
  <c r="Q198" i="40"/>
  <c r="R198" i="40"/>
  <c r="K11" i="49"/>
  <c r="M11" i="49" s="1"/>
  <c r="O11" i="49" s="1"/>
  <c r="Q11" i="49"/>
  <c r="Q295" i="51"/>
  <c r="R295" i="51"/>
  <c r="I267" i="50"/>
  <c r="I271" i="50"/>
  <c r="I269" i="50"/>
  <c r="I273" i="50"/>
  <c r="E51" i="26"/>
  <c r="H51" i="26"/>
  <c r="I51" i="26"/>
  <c r="A357" i="52"/>
  <c r="B51" i="17"/>
  <c r="Q434" i="40"/>
  <c r="R434" i="40"/>
  <c r="S434" i="40"/>
  <c r="G72" i="22"/>
  <c r="I72" i="22" s="1"/>
  <c r="G101" i="22"/>
  <c r="I101" i="22" s="1"/>
  <c r="J397" i="52"/>
  <c r="G128" i="22"/>
  <c r="I128" i="22" s="1"/>
  <c r="G115" i="22"/>
  <c r="I115" i="22" s="1"/>
  <c r="B84" i="53"/>
  <c r="S306" i="51"/>
  <c r="A84" i="53"/>
  <c r="A41" i="48"/>
  <c r="S427" i="40"/>
  <c r="H49" i="26"/>
  <c r="E49" i="26"/>
  <c r="D446" i="40"/>
  <c r="J396" i="52"/>
  <c r="Q518" i="40"/>
  <c r="P78" i="17" s="1"/>
  <c r="A363" i="52"/>
  <c r="B56" i="17"/>
  <c r="F36" i="48"/>
  <c r="F79" i="53"/>
  <c r="F427" i="52"/>
  <c r="F411" i="52"/>
  <c r="F423" i="52"/>
  <c r="J9" i="26"/>
  <c r="S5" i="39" s="1"/>
  <c r="J140" i="21"/>
  <c r="N205" i="21"/>
  <c r="G8" i="22"/>
  <c r="I8" i="22" s="1"/>
  <c r="L140" i="21"/>
  <c r="M205" i="21"/>
  <c r="G16" i="22"/>
  <c r="I16" i="22" s="1"/>
  <c r="H62" i="26"/>
  <c r="I62" i="26" s="1"/>
  <c r="J62" i="26" s="1"/>
  <c r="G111" i="52"/>
  <c r="Q36" i="49"/>
  <c r="S36" i="49" s="1"/>
  <c r="U36" i="49" s="1"/>
  <c r="I272" i="40"/>
  <c r="L205" i="21"/>
  <c r="G117" i="22"/>
  <c r="I117" i="22" s="1"/>
  <c r="S25" i="49"/>
  <c r="U25" i="49" s="1"/>
  <c r="Q480" i="40"/>
  <c r="R480" i="40"/>
  <c r="C18" i="52"/>
  <c r="K14" i="21"/>
  <c r="J14" i="21"/>
  <c r="L14" i="21"/>
  <c r="J59" i="45"/>
  <c r="H59" i="45"/>
  <c r="I35" i="45"/>
  <c r="J35" i="45"/>
  <c r="K35" i="45"/>
  <c r="J7" i="45"/>
  <c r="H7" i="45"/>
  <c r="J44" i="49"/>
  <c r="M43" i="49"/>
  <c r="O43" i="49" s="1"/>
  <c r="E85" i="52"/>
  <c r="K85" i="52" s="1"/>
  <c r="L85" i="52" s="1"/>
  <c r="M85" i="52" s="1"/>
  <c r="E77" i="52"/>
  <c r="K77" i="52" s="1"/>
  <c r="L77" i="52" s="1"/>
  <c r="M77" i="52" s="1"/>
  <c r="E65" i="52"/>
  <c r="K65" i="52" s="1"/>
  <c r="L65" i="52" s="1"/>
  <c r="M65" i="52" s="1"/>
  <c r="E81" i="52"/>
  <c r="K81" i="52" s="1"/>
  <c r="L81" i="52" s="1"/>
  <c r="E419" i="52"/>
  <c r="K419" i="52" s="1"/>
  <c r="L419" i="52" s="1"/>
  <c r="M419" i="52" s="1"/>
  <c r="E69" i="52"/>
  <c r="K69" i="52" s="1"/>
  <c r="L69" i="52" s="1"/>
  <c r="M69" i="52" s="1"/>
  <c r="K44" i="52"/>
  <c r="L44" i="52" s="1"/>
  <c r="M44" i="52" s="1"/>
  <c r="R305" i="51"/>
  <c r="S305" i="51"/>
  <c r="Q305" i="51"/>
  <c r="L242" i="21"/>
  <c r="N79" i="52"/>
  <c r="N71" i="52"/>
  <c r="N67" i="52"/>
  <c r="R499" i="40"/>
  <c r="Q499" i="40"/>
  <c r="Q493" i="40"/>
  <c r="R493" i="40"/>
  <c r="K335" i="40"/>
  <c r="L335" i="40"/>
  <c r="K318" i="40"/>
  <c r="L318" i="40"/>
  <c r="J13" i="21"/>
  <c r="L13" i="21"/>
  <c r="H58" i="45"/>
  <c r="J58" i="45"/>
  <c r="J25" i="49"/>
  <c r="M25" i="49" s="1"/>
  <c r="O25" i="49" s="1"/>
  <c r="M16" i="49"/>
  <c r="O16" i="49" s="1"/>
  <c r="I93" i="50"/>
  <c r="I91" i="50"/>
  <c r="G74" i="22"/>
  <c r="I74" i="22" s="1"/>
  <c r="K97" i="51"/>
  <c r="K94" i="51"/>
  <c r="N45" i="52"/>
  <c r="N47" i="52"/>
  <c r="N44" i="52"/>
  <c r="Q438" i="40"/>
  <c r="S438" i="40"/>
  <c r="M335" i="40"/>
  <c r="M318" i="40"/>
  <c r="J112" i="21"/>
  <c r="L112" i="21"/>
  <c r="K97" i="21"/>
  <c r="L97" i="21"/>
  <c r="J97" i="21"/>
  <c r="K34" i="49"/>
  <c r="M33" i="49"/>
  <c r="O33" i="49" s="1"/>
  <c r="H14" i="49"/>
  <c r="R14" i="49"/>
  <c r="G10" i="22"/>
  <c r="I10" i="22" s="1"/>
  <c r="J166" i="21"/>
  <c r="K24" i="21"/>
  <c r="K36" i="21"/>
  <c r="J242" i="21"/>
  <c r="K28" i="21"/>
  <c r="G28" i="52" s="1"/>
  <c r="G103" i="22"/>
  <c r="I103" i="22" s="1"/>
  <c r="R98" i="51"/>
  <c r="R96" i="51"/>
  <c r="S493" i="40"/>
  <c r="G28" i="49"/>
  <c r="I28" i="49" s="1"/>
  <c r="J28" i="49"/>
  <c r="P28" i="49"/>
  <c r="K190" i="21"/>
  <c r="L190" i="21"/>
  <c r="R518" i="40"/>
  <c r="AA78" i="17" s="1"/>
  <c r="K46" i="49"/>
  <c r="E19" i="26"/>
  <c r="H19" i="26"/>
  <c r="D356" i="50"/>
  <c r="K356" i="50" s="1"/>
  <c r="L529" i="40"/>
  <c r="Q307" i="51"/>
  <c r="R307" i="51"/>
  <c r="S307" i="51"/>
  <c r="R238" i="51"/>
  <c r="S238" i="51"/>
  <c r="Q238" i="51"/>
  <c r="D220" i="51"/>
  <c r="D423" i="40"/>
  <c r="S187" i="51"/>
  <c r="R187" i="51"/>
  <c r="R126" i="51"/>
  <c r="S126" i="51"/>
  <c r="R144" i="40"/>
  <c r="S144" i="40"/>
  <c r="AL32" i="17" s="1"/>
  <c r="Q144" i="40"/>
  <c r="P32" i="17" s="1"/>
  <c r="AA32" i="17" s="1"/>
  <c r="R32" i="51"/>
  <c r="Q32" i="51"/>
  <c r="R19" i="51"/>
  <c r="S19" i="51"/>
  <c r="B813" i="52"/>
  <c r="C83" i="17"/>
  <c r="R376" i="40"/>
  <c r="S376" i="40"/>
  <c r="L155" i="40"/>
  <c r="R155" i="40"/>
  <c r="D106" i="52"/>
  <c r="D122" i="52" s="1"/>
  <c r="E33" i="17"/>
  <c r="J145" i="21"/>
  <c r="L145" i="21"/>
  <c r="R488" i="40"/>
  <c r="R503" i="40"/>
  <c r="D489" i="40"/>
  <c r="Q489" i="40" s="1"/>
  <c r="D452" i="40"/>
  <c r="G30" i="49"/>
  <c r="I30" i="49" s="1"/>
  <c r="I341" i="50"/>
  <c r="I340" i="50" s="1"/>
  <c r="I339" i="50" s="1"/>
  <c r="I293" i="50"/>
  <c r="K506" i="52"/>
  <c r="L506" i="52" s="1"/>
  <c r="M506" i="52" s="1"/>
  <c r="B92" i="53"/>
  <c r="B44" i="53"/>
  <c r="D43" i="53"/>
  <c r="C34" i="53"/>
  <c r="M89" i="21"/>
  <c r="G115" i="52"/>
  <c r="G110" i="52" s="1"/>
  <c r="E420" i="52"/>
  <c r="K420" i="52" s="1"/>
  <c r="L420" i="52" s="1"/>
  <c r="M420" i="52" s="1"/>
  <c r="S202" i="40"/>
  <c r="Q449" i="40"/>
  <c r="R37" i="51"/>
  <c r="N14" i="49"/>
  <c r="R485" i="40"/>
  <c r="K60" i="40"/>
  <c r="K24" i="40"/>
  <c r="D23" i="48"/>
  <c r="K31" i="49"/>
  <c r="N31" i="49" s="1"/>
  <c r="N11" i="49"/>
  <c r="L74" i="51"/>
  <c r="L73" i="51"/>
  <c r="C91" i="53"/>
  <c r="A38" i="53"/>
  <c r="G117" i="52"/>
  <c r="G112" i="52" s="1"/>
  <c r="E78" i="52"/>
  <c r="K78" i="52" s="1"/>
  <c r="L78" i="52" s="1"/>
  <c r="M78" i="52" s="1"/>
  <c r="Q437" i="40"/>
  <c r="Q316" i="40"/>
  <c r="G24" i="49"/>
  <c r="I24" i="49" s="1"/>
  <c r="G23" i="49"/>
  <c r="I23" i="49" s="1"/>
  <c r="T18" i="49"/>
  <c r="Q12" i="49"/>
  <c r="I139" i="50"/>
  <c r="L114" i="51"/>
  <c r="T13" i="53"/>
  <c r="K114" i="51"/>
  <c r="E117" i="52"/>
  <c r="K117" i="52" s="1"/>
  <c r="L117" i="52" s="1"/>
  <c r="M117" i="52" s="1"/>
  <c r="C89" i="53"/>
  <c r="I324" i="50"/>
  <c r="E267" i="52"/>
  <c r="A32" i="53"/>
  <c r="D31" i="53"/>
  <c r="E70" i="52"/>
  <c r="K70" i="52" s="1"/>
  <c r="L70" i="52" s="1"/>
  <c r="M70" i="52" s="1"/>
  <c r="S218" i="51"/>
  <c r="R161" i="40"/>
  <c r="R160" i="40" s="1"/>
  <c r="R159" i="40" s="1"/>
  <c r="G40" i="49"/>
  <c r="I40" i="49" s="1"/>
  <c r="Q433" i="40"/>
  <c r="Q327" i="40"/>
  <c r="K247" i="40"/>
  <c r="Q140" i="40"/>
  <c r="H12" i="49"/>
  <c r="M58" i="51"/>
  <c r="D60" i="53"/>
  <c r="Q196" i="51"/>
  <c r="R218" i="51"/>
  <c r="R440" i="40"/>
  <c r="L392" i="40"/>
  <c r="H34" i="26"/>
  <c r="D398" i="40"/>
  <c r="S37" i="49"/>
  <c r="U37" i="49" s="1"/>
  <c r="Q30" i="49"/>
  <c r="G29" i="49"/>
  <c r="I29" i="49" s="1"/>
  <c r="M20" i="49"/>
  <c r="O20" i="49" s="1"/>
  <c r="G12" i="49"/>
  <c r="I12" i="49" s="1"/>
  <c r="G9" i="49"/>
  <c r="I9" i="49" s="1"/>
  <c r="L317" i="51"/>
  <c r="L316" i="51" s="1"/>
  <c r="K533" i="52"/>
  <c r="L533" i="52" s="1"/>
  <c r="M533" i="52" s="1"/>
  <c r="G113" i="52"/>
  <c r="S196" i="51"/>
  <c r="S154" i="51"/>
  <c r="Q488" i="40"/>
  <c r="Q440" i="40"/>
  <c r="S128" i="40"/>
  <c r="T12" i="49"/>
  <c r="K101" i="51"/>
  <c r="N391" i="52"/>
  <c r="T68" i="53"/>
  <c r="R154" i="51"/>
  <c r="S148" i="40"/>
  <c r="S384" i="40"/>
  <c r="R128" i="40"/>
  <c r="S391" i="40"/>
  <c r="R162" i="51"/>
  <c r="K39" i="49"/>
  <c r="Q394" i="40"/>
  <c r="D464" i="40"/>
  <c r="I322" i="50"/>
  <c r="I313" i="50"/>
  <c r="K29" i="51"/>
  <c r="E553" i="52"/>
  <c r="K553" i="52" s="1"/>
  <c r="L553" i="52" s="1"/>
  <c r="K511" i="52"/>
  <c r="L511" i="52" s="1"/>
  <c r="E398" i="52"/>
  <c r="M235" i="52"/>
  <c r="L352" i="40"/>
  <c r="L486" i="40"/>
  <c r="D402" i="40"/>
  <c r="F25" i="48"/>
  <c r="S46" i="49"/>
  <c r="U46" i="49" s="1"/>
  <c r="Q31" i="49"/>
  <c r="S31" i="49" s="1"/>
  <c r="U31" i="49" s="1"/>
  <c r="K13" i="49"/>
  <c r="M13" i="49" s="1"/>
  <c r="O13" i="49" s="1"/>
  <c r="T71" i="53"/>
  <c r="D35" i="53"/>
  <c r="R483" i="40"/>
  <c r="J48" i="26"/>
  <c r="G6" i="39" s="1"/>
  <c r="C46" i="48"/>
  <c r="D24" i="48"/>
  <c r="P49" i="48"/>
  <c r="P51" i="48"/>
  <c r="P22" i="48"/>
  <c r="N46" i="17"/>
  <c r="AJ44" i="17"/>
  <c r="B88" i="53"/>
  <c r="B26" i="53"/>
  <c r="L207" i="21"/>
  <c r="K207" i="21"/>
  <c r="M207" i="21"/>
  <c r="N207" i="21"/>
  <c r="K11" i="21"/>
  <c r="L11" i="21"/>
  <c r="J11" i="21"/>
  <c r="J244" i="21"/>
  <c r="L244" i="21"/>
  <c r="K244" i="21"/>
  <c r="K224" i="21"/>
  <c r="J224" i="21"/>
  <c r="L224" i="21"/>
  <c r="K206" i="21"/>
  <c r="M206" i="21"/>
  <c r="L206" i="21"/>
  <c r="N206" i="21"/>
  <c r="K167" i="21"/>
  <c r="J167" i="21"/>
  <c r="L167" i="21"/>
  <c r="J189" i="21"/>
  <c r="L189" i="21"/>
  <c r="K189" i="21"/>
  <c r="K204" i="21"/>
  <c r="N204" i="21"/>
  <c r="L204" i="21"/>
  <c r="M204" i="21"/>
  <c r="K44" i="21"/>
  <c r="L44" i="21"/>
  <c r="J44" i="21"/>
  <c r="K186" i="21"/>
  <c r="J186" i="21"/>
  <c r="L186" i="21"/>
  <c r="N201" i="21"/>
  <c r="M201" i="21"/>
  <c r="L201" i="21"/>
  <c r="K201" i="21"/>
  <c r="J185" i="21"/>
  <c r="L185" i="21"/>
  <c r="K185" i="21"/>
  <c r="L93" i="21"/>
  <c r="J93" i="21"/>
  <c r="K93" i="21"/>
  <c r="J57" i="21"/>
  <c r="L57" i="21"/>
  <c r="K57" i="21"/>
  <c r="K228" i="21"/>
  <c r="J228" i="21"/>
  <c r="L228" i="21"/>
  <c r="L172" i="21"/>
  <c r="J172" i="21"/>
  <c r="K172" i="21"/>
  <c r="K171" i="21"/>
  <c r="J171" i="21"/>
  <c r="L171" i="21"/>
  <c r="K209" i="21"/>
  <c r="N209" i="21"/>
  <c r="M209" i="21"/>
  <c r="L209" i="21"/>
  <c r="K192" i="21"/>
  <c r="J192" i="21"/>
  <c r="L192" i="21"/>
  <c r="K170" i="21"/>
  <c r="J170" i="21"/>
  <c r="L170" i="21"/>
  <c r="K85" i="21"/>
  <c r="K86" i="21" s="1"/>
  <c r="M85" i="21"/>
  <c r="J118" i="52" s="1"/>
  <c r="J113" i="52" s="1"/>
  <c r="L191" i="21"/>
  <c r="K191" i="21"/>
  <c r="J191" i="21"/>
  <c r="K182" i="21"/>
  <c r="L182" i="21"/>
  <c r="J182" i="21"/>
  <c r="L174" i="21"/>
  <c r="F82" i="52"/>
  <c r="K9" i="21"/>
  <c r="L146" i="21"/>
  <c r="F49" i="53"/>
  <c r="J9" i="21"/>
  <c r="K146" i="21"/>
  <c r="K221" i="21"/>
  <c r="F70" i="52"/>
  <c r="F74" i="52"/>
  <c r="F94" i="53"/>
  <c r="F424" i="52"/>
  <c r="L221" i="21"/>
  <c r="F428" i="52"/>
  <c r="F78" i="52"/>
  <c r="J168" i="21"/>
  <c r="K168" i="21"/>
  <c r="J114" i="21"/>
  <c r="L100" i="21"/>
  <c r="L114" i="21"/>
  <c r="J135" i="21"/>
  <c r="J248" i="21"/>
  <c r="K100" i="21"/>
  <c r="G109" i="52"/>
  <c r="G441" i="52" s="1"/>
  <c r="L135" i="21"/>
  <c r="L248" i="21"/>
  <c r="L49" i="21"/>
  <c r="F86" i="52"/>
  <c r="F420" i="52"/>
  <c r="H123" i="45"/>
  <c r="H66" i="45"/>
  <c r="J150" i="45"/>
  <c r="J43" i="45"/>
  <c r="I141" i="45"/>
  <c r="L141" i="45"/>
  <c r="J165" i="45"/>
  <c r="I165" i="45"/>
  <c r="J107" i="45"/>
  <c r="I107" i="45"/>
  <c r="J175" i="45"/>
  <c r="I175" i="45"/>
  <c r="J102" i="45"/>
  <c r="J38" i="45"/>
  <c r="I102" i="45"/>
  <c r="K154" i="45"/>
  <c r="I38" i="45"/>
  <c r="L148" i="45"/>
  <c r="J130" i="45"/>
  <c r="I130" i="45"/>
  <c r="J100" i="45"/>
  <c r="H120" i="45"/>
  <c r="I101" i="45"/>
  <c r="I62" i="45"/>
  <c r="J141" i="45"/>
  <c r="H126" i="45"/>
  <c r="I100" i="45"/>
  <c r="J54" i="45"/>
  <c r="J133" i="45"/>
  <c r="L42" i="45"/>
  <c r="I167" i="45"/>
  <c r="J39" i="45"/>
  <c r="J128" i="45"/>
  <c r="I128" i="45"/>
  <c r="I54" i="45"/>
  <c r="J62" i="45"/>
  <c r="I133" i="45"/>
  <c r="I59" i="45"/>
  <c r="H131" i="45"/>
  <c r="J14" i="45"/>
  <c r="I27" i="45"/>
  <c r="J37" i="45"/>
  <c r="J109" i="45"/>
  <c r="J61" i="45"/>
  <c r="I109" i="45"/>
  <c r="I44" i="45"/>
  <c r="I61" i="45"/>
  <c r="J55" i="45"/>
  <c r="H55" i="45"/>
  <c r="J48" i="45"/>
  <c r="J85" i="45"/>
  <c r="H85" i="45"/>
  <c r="I60" i="22"/>
  <c r="G52" i="22"/>
  <c r="I52" i="22" s="1"/>
  <c r="G55" i="22"/>
  <c r="I55" i="22" s="1"/>
  <c r="I64" i="22"/>
  <c r="G56" i="22"/>
  <c r="I56" i="22" s="1"/>
  <c r="J63" i="45"/>
  <c r="J184" i="45"/>
  <c r="J95" i="45"/>
  <c r="I63" i="45"/>
  <c r="I184" i="45"/>
  <c r="H95" i="45"/>
  <c r="J185" i="45"/>
  <c r="K39" i="45"/>
  <c r="I185" i="45"/>
  <c r="J172" i="45"/>
  <c r="I95" i="45"/>
  <c r="I172" i="45"/>
  <c r="I48" i="45"/>
  <c r="I164" i="45"/>
  <c r="L143" i="45"/>
  <c r="L46" i="45"/>
  <c r="L142" i="45"/>
  <c r="J120" i="45"/>
  <c r="J22" i="45"/>
  <c r="K143" i="45"/>
  <c r="H121" i="45"/>
  <c r="K46" i="45"/>
  <c r="H186" i="45"/>
  <c r="J143" i="45"/>
  <c r="I77" i="45"/>
  <c r="I56" i="45"/>
  <c r="M546" i="52"/>
  <c r="I47" i="52"/>
  <c r="I68" i="52" s="1"/>
  <c r="M541" i="52"/>
  <c r="I45" i="52"/>
  <c r="I82" i="52" s="1"/>
  <c r="I44" i="52"/>
  <c r="I69" i="52" s="1"/>
  <c r="I46" i="52"/>
  <c r="J186" i="45"/>
  <c r="J173" i="45"/>
  <c r="I124" i="45"/>
  <c r="K37" i="45"/>
  <c r="H124" i="45"/>
  <c r="I90" i="45"/>
  <c r="J167" i="45"/>
  <c r="K36" i="45"/>
  <c r="H23" i="45"/>
  <c r="I74" i="45"/>
  <c r="I36" i="45"/>
  <c r="L151" i="45"/>
  <c r="J65" i="45"/>
  <c r="J166" i="45"/>
  <c r="J73" i="45"/>
  <c r="I40" i="45"/>
  <c r="K151" i="45"/>
  <c r="I65" i="45"/>
  <c r="J171" i="45"/>
  <c r="I166" i="45"/>
  <c r="L153" i="45"/>
  <c r="J151" i="45"/>
  <c r="M542" i="52"/>
  <c r="J153" i="45"/>
  <c r="L146" i="45"/>
  <c r="I153" i="45"/>
  <c r="K146" i="45"/>
  <c r="J164" i="45"/>
  <c r="J42" i="45"/>
  <c r="H13" i="45"/>
  <c r="H17" i="45"/>
  <c r="I87" i="45"/>
  <c r="J113" i="45"/>
  <c r="J174" i="45"/>
  <c r="I127" i="45"/>
  <c r="J78" i="45"/>
  <c r="L39" i="45"/>
  <c r="I64" i="45"/>
  <c r="I113" i="45"/>
  <c r="I174" i="45"/>
  <c r="K144" i="45"/>
  <c r="H127" i="45"/>
  <c r="J122" i="45"/>
  <c r="J86" i="45"/>
  <c r="I82" i="45"/>
  <c r="H78" i="45"/>
  <c r="L47" i="45"/>
  <c r="J144" i="45"/>
  <c r="I122" i="45"/>
  <c r="J47" i="45"/>
  <c r="J15" i="45"/>
  <c r="I183" i="45"/>
  <c r="I173" i="45"/>
  <c r="J76" i="45"/>
  <c r="I66" i="45"/>
  <c r="H183" i="45"/>
  <c r="J148" i="45"/>
  <c r="J89" i="45"/>
  <c r="I84" i="45"/>
  <c r="I163" i="45"/>
  <c r="I148" i="45"/>
  <c r="J75" i="45"/>
  <c r="J162" i="45"/>
  <c r="I142" i="45"/>
  <c r="J108" i="45"/>
  <c r="J101" i="45"/>
  <c r="J88" i="45"/>
  <c r="J83" i="45"/>
  <c r="I80" i="45"/>
  <c r="H75" i="45"/>
  <c r="J64" i="45"/>
  <c r="I162" i="45"/>
  <c r="I108" i="45"/>
  <c r="H88" i="45"/>
  <c r="I102" i="52"/>
  <c r="I98" i="52"/>
  <c r="I101" i="52"/>
  <c r="I99" i="52"/>
  <c r="I100" i="52"/>
  <c r="I116" i="52"/>
  <c r="I117" i="52"/>
  <c r="I118" i="52"/>
  <c r="I115" i="52"/>
  <c r="I114" i="52"/>
  <c r="M72" i="52"/>
  <c r="M558" i="52"/>
  <c r="M536" i="52"/>
  <c r="M66" i="52"/>
  <c r="M46" i="52"/>
  <c r="J102" i="52"/>
  <c r="J97" i="52" s="1"/>
  <c r="M86" i="52"/>
  <c r="M83" i="52"/>
  <c r="M45" i="52"/>
  <c r="M513" i="52"/>
  <c r="M518" i="52"/>
  <c r="L62" i="52"/>
  <c r="M62" i="52" s="1"/>
  <c r="L84" i="52"/>
  <c r="M84" i="52" s="1"/>
  <c r="X74" i="17"/>
  <c r="Y74" i="17"/>
  <c r="I32" i="26"/>
  <c r="J32" i="26" s="1"/>
  <c r="E496" i="52"/>
  <c r="F74" i="17"/>
  <c r="L74" i="17" s="1"/>
  <c r="L82" i="52"/>
  <c r="M82" i="52" s="1"/>
  <c r="AI74" i="17"/>
  <c r="AJ74" i="17" s="1"/>
  <c r="L422" i="52"/>
  <c r="M422" i="52" s="1"/>
  <c r="R449" i="40"/>
  <c r="L449" i="40"/>
  <c r="A72" i="53"/>
  <c r="E88" i="52"/>
  <c r="K88" i="52" s="1"/>
  <c r="E68" i="52"/>
  <c r="K68" i="52" s="1"/>
  <c r="K47" i="52"/>
  <c r="E76" i="52"/>
  <c r="K76" i="52" s="1"/>
  <c r="L87" i="52"/>
  <c r="M87" i="52" s="1"/>
  <c r="A14" i="53"/>
  <c r="A10" i="48"/>
  <c r="O31" i="17"/>
  <c r="Z31" i="17" s="1"/>
  <c r="Q451" i="40"/>
  <c r="S451" i="40"/>
  <c r="R451" i="40"/>
  <c r="R373" i="40"/>
  <c r="S373" i="40"/>
  <c r="Q373" i="40"/>
  <c r="R317" i="40"/>
  <c r="S317" i="40"/>
  <c r="Q317" i="40"/>
  <c r="L268" i="52"/>
  <c r="M268" i="52" s="1"/>
  <c r="D20" i="26"/>
  <c r="C21" i="26"/>
  <c r="D357" i="50"/>
  <c r="D530" i="40"/>
  <c r="L530" i="40"/>
  <c r="D308" i="51"/>
  <c r="D510" i="40"/>
  <c r="D300" i="51"/>
  <c r="D497" i="40"/>
  <c r="S484" i="40"/>
  <c r="R484" i="40"/>
  <c r="D239" i="51"/>
  <c r="D462" i="40"/>
  <c r="S450" i="40"/>
  <c r="R450" i="40"/>
  <c r="Q450" i="40"/>
  <c r="M527" i="52"/>
  <c r="L80" i="52"/>
  <c r="M80" i="52" s="1"/>
  <c r="Q484" i="40"/>
  <c r="M67" i="52"/>
  <c r="K268" i="50"/>
  <c r="K270" i="50"/>
  <c r="K272" i="50"/>
  <c r="A47" i="53"/>
  <c r="A18" i="48"/>
  <c r="L509" i="52"/>
  <c r="M509" i="52" s="1"/>
  <c r="S14" i="49"/>
  <c r="U14" i="49" s="1"/>
  <c r="T14" i="49"/>
  <c r="A47" i="48"/>
  <c r="M120" i="52"/>
  <c r="I92" i="50"/>
  <c r="E263" i="52"/>
  <c r="A35" i="48"/>
  <c r="A78" i="53"/>
  <c r="L560" i="52"/>
  <c r="M560" i="52" s="1"/>
  <c r="D221" i="51"/>
  <c r="D424" i="40"/>
  <c r="D200" i="51"/>
  <c r="D401" i="40"/>
  <c r="D191" i="51"/>
  <c r="D387" i="40"/>
  <c r="D166" i="51"/>
  <c r="D345" i="40"/>
  <c r="D157" i="51"/>
  <c r="D331" i="40"/>
  <c r="D254" i="50"/>
  <c r="D288" i="40"/>
  <c r="D240" i="50"/>
  <c r="D275" i="40"/>
  <c r="D228" i="50"/>
  <c r="D263" i="40"/>
  <c r="D211" i="50"/>
  <c r="D251" i="40"/>
  <c r="D190" i="50"/>
  <c r="D239" i="40"/>
  <c r="D127" i="51"/>
  <c r="D212" i="40"/>
  <c r="D102" i="51"/>
  <c r="D199" i="40"/>
  <c r="D79" i="51"/>
  <c r="D158" i="40"/>
  <c r="D45" i="51"/>
  <c r="D145" i="40"/>
  <c r="D33" i="51"/>
  <c r="D132" i="40"/>
  <c r="D24" i="51"/>
  <c r="D119" i="40"/>
  <c r="D20" i="51"/>
  <c r="D108" i="40"/>
  <c r="D79" i="50"/>
  <c r="D84" i="40"/>
  <c r="D67" i="50"/>
  <c r="D71" i="40"/>
  <c r="D32" i="50"/>
  <c r="D47" i="40"/>
  <c r="D28" i="50"/>
  <c r="D35" i="40"/>
  <c r="D23" i="50"/>
  <c r="D23" i="40"/>
  <c r="Q468" i="40"/>
  <c r="Q467" i="40" s="1"/>
  <c r="P74" i="17" s="1"/>
  <c r="R468" i="40"/>
  <c r="R467" i="40" s="1"/>
  <c r="AA74" i="17" s="1"/>
  <c r="S468" i="40"/>
  <c r="S467" i="40" s="1"/>
  <c r="AL74" i="17" s="1"/>
  <c r="S327" i="40"/>
  <c r="R127" i="40"/>
  <c r="L52" i="52"/>
  <c r="M52" i="52" s="1"/>
  <c r="E46" i="49"/>
  <c r="Q483" i="40"/>
  <c r="S448" i="40"/>
  <c r="Q448" i="40"/>
  <c r="S499" i="40"/>
  <c r="R433" i="40"/>
  <c r="R327" i="40"/>
  <c r="S127" i="40"/>
  <c r="Q155" i="40"/>
  <c r="S447" i="40"/>
  <c r="K273" i="40"/>
  <c r="Q456" i="40"/>
  <c r="R437" i="40"/>
  <c r="S456" i="40"/>
  <c r="K229" i="50"/>
  <c r="R161" i="51"/>
  <c r="K37" i="40"/>
  <c r="Q312" i="40"/>
  <c r="R312" i="40"/>
  <c r="G113" i="22"/>
  <c r="I113" i="22" s="1"/>
  <c r="G165" i="22"/>
  <c r="I165" i="22" s="1"/>
  <c r="G6" i="22"/>
  <c r="I6" i="22" s="1"/>
  <c r="C40" i="26"/>
  <c r="D39" i="26"/>
  <c r="M528" i="52"/>
  <c r="M544" i="52"/>
  <c r="C52" i="26"/>
  <c r="I38" i="26"/>
  <c r="R381" i="40"/>
  <c r="Q381" i="40"/>
  <c r="K42" i="40"/>
  <c r="Q427" i="40"/>
  <c r="R316" i="40"/>
  <c r="K128" i="50"/>
  <c r="K150" i="50"/>
  <c r="K326" i="50"/>
  <c r="K141" i="50"/>
  <c r="K57" i="50"/>
  <c r="K153" i="50"/>
  <c r="R121" i="51"/>
  <c r="S58" i="51"/>
  <c r="K256" i="50"/>
  <c r="S155" i="40"/>
  <c r="Q70" i="51"/>
  <c r="Q185" i="51"/>
  <c r="S109" i="40"/>
  <c r="R227" i="51"/>
  <c r="S121" i="51"/>
  <c r="K231" i="50"/>
  <c r="Q27" i="51"/>
  <c r="R163" i="51"/>
  <c r="R149" i="40"/>
  <c r="R486" i="40"/>
  <c r="R168" i="51"/>
  <c r="S27" i="51"/>
  <c r="K330" i="50"/>
  <c r="K167" i="50"/>
  <c r="K166" i="50" s="1"/>
  <c r="K358" i="50"/>
  <c r="K355" i="50" s="1"/>
  <c r="K194" i="50"/>
  <c r="S160" i="51"/>
  <c r="S163" i="51"/>
  <c r="K168" i="50"/>
  <c r="S32" i="51"/>
  <c r="Q126" i="40"/>
  <c r="S168" i="51"/>
  <c r="K311" i="50"/>
  <c r="Q313" i="51"/>
  <c r="Q311" i="51" s="1"/>
  <c r="K40" i="50"/>
  <c r="R131" i="51"/>
  <c r="R130" i="51" s="1"/>
  <c r="S208" i="40"/>
  <c r="K164" i="50"/>
  <c r="K163" i="50" s="1"/>
  <c r="K162" i="50" s="1"/>
  <c r="K342" i="50"/>
  <c r="K75" i="50"/>
  <c r="Q107" i="51"/>
  <c r="S142" i="40"/>
  <c r="S185" i="51"/>
  <c r="K103" i="50"/>
  <c r="S131" i="51"/>
  <c r="S130" i="51" s="1"/>
  <c r="Q206" i="51"/>
  <c r="K328" i="50"/>
  <c r="K327" i="50" s="1"/>
  <c r="K206" i="50"/>
  <c r="Q221" i="40"/>
  <c r="Q220" i="40" s="1"/>
  <c r="Q219" i="40" s="1"/>
  <c r="Q52" i="51"/>
  <c r="Q203" i="51"/>
  <c r="Q114" i="51"/>
  <c r="S107" i="51"/>
  <c r="R160" i="51"/>
  <c r="R185" i="51"/>
  <c r="K107" i="50"/>
  <c r="K43" i="40"/>
  <c r="S44" i="51"/>
  <c r="R120" i="51"/>
  <c r="K104" i="50"/>
  <c r="Q136" i="51"/>
  <c r="Q208" i="40"/>
  <c r="K219" i="50"/>
  <c r="S162" i="51"/>
  <c r="S117" i="51"/>
  <c r="S241" i="51"/>
  <c r="K49" i="50"/>
  <c r="S230" i="51"/>
  <c r="S221" i="40"/>
  <c r="S220" i="40" s="1"/>
  <c r="S219" i="40" s="1"/>
  <c r="S318" i="40"/>
  <c r="S53" i="51"/>
  <c r="K209" i="50"/>
  <c r="K135" i="50"/>
  <c r="S232" i="51"/>
  <c r="K65" i="50"/>
  <c r="K110" i="50"/>
  <c r="S136" i="51"/>
  <c r="Q161" i="51"/>
  <c r="K337" i="50"/>
  <c r="R62" i="51"/>
  <c r="R60" i="51" s="1"/>
  <c r="K308" i="50"/>
  <c r="K306" i="50" s="1"/>
  <c r="K125" i="50"/>
  <c r="Q297" i="51"/>
  <c r="K44" i="40"/>
  <c r="S111" i="51"/>
  <c r="S153" i="51"/>
  <c r="K108" i="50"/>
  <c r="Q68" i="51"/>
  <c r="R297" i="51"/>
  <c r="S161" i="51"/>
  <c r="R58" i="51"/>
  <c r="K109" i="50"/>
  <c r="Q131" i="51"/>
  <c r="Q130" i="51" s="1"/>
  <c r="K198" i="50"/>
  <c r="K71" i="50"/>
  <c r="K322" i="50"/>
  <c r="Q292" i="51"/>
  <c r="R184" i="51"/>
  <c r="Q389" i="40"/>
  <c r="D362" i="50"/>
  <c r="D535" i="40"/>
  <c r="L535" i="40"/>
  <c r="D314" i="51"/>
  <c r="D515" i="40"/>
  <c r="D231" i="51"/>
  <c r="D455" i="40"/>
  <c r="D223" i="51"/>
  <c r="D442" i="40"/>
  <c r="Q430" i="40"/>
  <c r="R430" i="40"/>
  <c r="D205" i="51"/>
  <c r="D406" i="40"/>
  <c r="D171" i="51"/>
  <c r="D350" i="40"/>
  <c r="D158" i="51"/>
  <c r="D338" i="40"/>
  <c r="R324" i="40"/>
  <c r="S324" i="40"/>
  <c r="D150" i="51"/>
  <c r="D308" i="40"/>
  <c r="D246" i="50"/>
  <c r="D280" i="40"/>
  <c r="D233" i="50"/>
  <c r="D268" i="40"/>
  <c r="K256" i="40"/>
  <c r="D195" i="50"/>
  <c r="D244" i="40"/>
  <c r="D133" i="51"/>
  <c r="D217" i="40"/>
  <c r="S204" i="40"/>
  <c r="D48" i="51"/>
  <c r="D150" i="40"/>
  <c r="D39" i="51"/>
  <c r="D137" i="40"/>
  <c r="D59" i="50"/>
  <c r="D64" i="40"/>
  <c r="D38" i="50"/>
  <c r="D52" i="40"/>
  <c r="D16" i="50"/>
  <c r="D16" i="40"/>
  <c r="S203" i="40"/>
  <c r="S437" i="40"/>
  <c r="S433" i="40"/>
  <c r="L522" i="52"/>
  <c r="M522" i="52" s="1"/>
  <c r="S375" i="40"/>
  <c r="Q336" i="40"/>
  <c r="S486" i="40"/>
  <c r="M486" i="40"/>
  <c r="R438" i="40"/>
  <c r="K249" i="40"/>
  <c r="Q486" i="40"/>
  <c r="L514" i="52"/>
  <c r="M514" i="52" s="1"/>
  <c r="Q487" i="40"/>
  <c r="S320" i="40"/>
  <c r="G127" i="22"/>
  <c r="I127" i="22" s="1"/>
  <c r="G61" i="22"/>
  <c r="G151" i="22"/>
  <c r="I151" i="22" s="1"/>
  <c r="H66" i="26"/>
  <c r="I66" i="26" s="1"/>
  <c r="J66" i="26" s="1"/>
  <c r="D60" i="50"/>
  <c r="D65" i="40"/>
  <c r="D17" i="50"/>
  <c r="D17" i="40"/>
  <c r="D533" i="40"/>
  <c r="D458" i="40"/>
  <c r="D454" i="40"/>
  <c r="D421" i="40"/>
  <c r="D385" i="40"/>
  <c r="D287" i="40"/>
  <c r="D262" i="40"/>
  <c r="D252" i="40"/>
  <c r="D207" i="40"/>
  <c r="D134" i="40"/>
  <c r="D107" i="40"/>
  <c r="D85" i="40"/>
  <c r="D77" i="40"/>
  <c r="E168" i="22"/>
  <c r="D43" i="49"/>
  <c r="G42" i="49"/>
  <c r="I42" i="49" s="1"/>
  <c r="R30" i="49"/>
  <c r="T30" i="49" s="1"/>
  <c r="H30" i="49"/>
  <c r="D330" i="40"/>
  <c r="D285" i="40"/>
  <c r="D277" i="40"/>
  <c r="D272" i="40"/>
  <c r="D267" i="40"/>
  <c r="D257" i="40"/>
  <c r="D245" i="40"/>
  <c r="D240" i="40"/>
  <c r="D131" i="40"/>
  <c r="D72" i="40"/>
  <c r="D58" i="40"/>
  <c r="D51" i="40"/>
  <c r="AI45" i="17"/>
  <c r="AJ45" i="17" s="1"/>
  <c r="G26" i="49"/>
  <c r="I26" i="49" s="1"/>
  <c r="J26" i="49"/>
  <c r="M26" i="49" s="1"/>
  <c r="O26" i="49" s="1"/>
  <c r="P26" i="49"/>
  <c r="S26" i="49" s="1"/>
  <c r="U26" i="49" s="1"/>
  <c r="R204" i="51"/>
  <c r="R199" i="51" s="1"/>
  <c r="D86" i="51"/>
  <c r="D163" i="40"/>
  <c r="D38" i="51"/>
  <c r="D136" i="40"/>
  <c r="D15" i="50"/>
  <c r="D15" i="40"/>
  <c r="L534" i="40"/>
  <c r="D531" i="40"/>
  <c r="D514" i="40"/>
  <c r="D506" i="40"/>
  <c r="D368" i="40"/>
  <c r="D351" i="40"/>
  <c r="D347" i="40"/>
  <c r="D343" i="40"/>
  <c r="D339" i="40"/>
  <c r="D309" i="40"/>
  <c r="D260" i="40"/>
  <c r="D220" i="40"/>
  <c r="D216" i="40"/>
  <c r="D138" i="40"/>
  <c r="D63" i="40"/>
  <c r="H103" i="45"/>
  <c r="I103" i="45"/>
  <c r="J103" i="45"/>
  <c r="F88" i="53"/>
  <c r="F44" i="48"/>
  <c r="X45" i="17"/>
  <c r="Y45" i="17" s="1"/>
  <c r="R169" i="51"/>
  <c r="D70" i="50"/>
  <c r="D74" i="40"/>
  <c r="D45" i="50"/>
  <c r="D62" i="40"/>
  <c r="D36" i="50"/>
  <c r="D50" i="40"/>
  <c r="D498" i="40"/>
  <c r="D463" i="40"/>
  <c r="D459" i="40"/>
  <c r="D422" i="40"/>
  <c r="D386" i="40"/>
  <c r="D270" i="40"/>
  <c r="D265" i="40"/>
  <c r="D238" i="40"/>
  <c r="D200" i="40"/>
  <c r="D135" i="40"/>
  <c r="D33" i="40"/>
  <c r="D21" i="40"/>
  <c r="H187" i="45"/>
  <c r="I187" i="45"/>
  <c r="J187" i="45"/>
  <c r="F96" i="53"/>
  <c r="F50" i="48"/>
  <c r="F55" i="53"/>
  <c r="D16" i="48"/>
  <c r="M28" i="49"/>
  <c r="O28" i="49" s="1"/>
  <c r="N28" i="49"/>
  <c r="G104" i="22"/>
  <c r="I104" i="22" s="1"/>
  <c r="Q202" i="51"/>
  <c r="Q200" i="51" s="1"/>
  <c r="D81" i="51"/>
  <c r="D160" i="40"/>
  <c r="D47" i="51"/>
  <c r="D147" i="40"/>
  <c r="D69" i="50"/>
  <c r="D73" i="40"/>
  <c r="D35" i="50"/>
  <c r="D49" i="40"/>
  <c r="L532" i="40"/>
  <c r="D529" i="40"/>
  <c r="D494" i="40"/>
  <c r="D481" i="40"/>
  <c r="D443" i="40"/>
  <c r="D407" i="40"/>
  <c r="D403" i="40"/>
  <c r="D399" i="40"/>
  <c r="D395" i="40"/>
  <c r="D290" i="40"/>
  <c r="D243" i="40"/>
  <c r="D121" i="40"/>
  <c r="D70" i="40"/>
  <c r="T11" i="49"/>
  <c r="F34" i="26"/>
  <c r="I34" i="26" s="1"/>
  <c r="J34" i="26" s="1"/>
  <c r="E5" i="39" s="1"/>
  <c r="R240" i="51"/>
  <c r="R103" i="51"/>
  <c r="D80" i="51"/>
  <c r="D159" i="40"/>
  <c r="D46" i="51"/>
  <c r="D146" i="40"/>
  <c r="D34" i="51"/>
  <c r="D133" i="40"/>
  <c r="D25" i="51"/>
  <c r="D120" i="40"/>
  <c r="H20" i="51"/>
  <c r="H108" i="40"/>
  <c r="D33" i="50"/>
  <c r="D48" i="40"/>
  <c r="D29" i="50"/>
  <c r="D36" i="40"/>
  <c r="D534" i="40"/>
  <c r="D511" i="40"/>
  <c r="D507" i="40"/>
  <c r="D369" i="40"/>
  <c r="D348" i="40"/>
  <c r="D344" i="40"/>
  <c r="D340" i="40"/>
  <c r="D310" i="40"/>
  <c r="D281" i="40"/>
  <c r="D278" i="40"/>
  <c r="D258" i="40"/>
  <c r="D253" i="40"/>
  <c r="D213" i="40"/>
  <c r="D209" i="40"/>
  <c r="D141" i="40"/>
  <c r="D80" i="40"/>
  <c r="H18" i="45"/>
  <c r="H11" i="45"/>
  <c r="F60" i="53"/>
  <c r="F23" i="48"/>
  <c r="D246" i="40"/>
  <c r="D241" i="40"/>
  <c r="D205" i="40"/>
  <c r="D66" i="40"/>
  <c r="J10" i="45"/>
  <c r="X44" i="17"/>
  <c r="Y44" i="17" s="1"/>
  <c r="C15" i="48"/>
  <c r="G32" i="49"/>
  <c r="I32" i="49" s="1"/>
  <c r="E33" i="49"/>
  <c r="G81" i="22"/>
  <c r="I81" i="22" s="1"/>
  <c r="G154" i="22"/>
  <c r="I154" i="22" s="1"/>
  <c r="G17" i="22"/>
  <c r="I17" i="22" s="1"/>
  <c r="G130" i="22"/>
  <c r="I130" i="22" s="1"/>
  <c r="H68" i="26"/>
  <c r="I68" i="26" s="1"/>
  <c r="J68" i="26" s="1"/>
  <c r="H63" i="26"/>
  <c r="I63" i="26" s="1"/>
  <c r="J63" i="26" s="1"/>
  <c r="Q126" i="51"/>
  <c r="D78" i="51"/>
  <c r="D157" i="40"/>
  <c r="D23" i="51"/>
  <c r="D118" i="40"/>
  <c r="D78" i="50"/>
  <c r="D83" i="40"/>
  <c r="D31" i="50"/>
  <c r="D46" i="40"/>
  <c r="D27" i="50"/>
  <c r="D34" i="40"/>
  <c r="D22" i="50"/>
  <c r="D22" i="40"/>
  <c r="D532" i="40"/>
  <c r="D495" i="40"/>
  <c r="D478" i="40"/>
  <c r="D444" i="40"/>
  <c r="D432" i="40"/>
  <c r="D404" i="40"/>
  <c r="D400" i="40"/>
  <c r="D396" i="40"/>
  <c r="D328" i="40"/>
  <c r="D286" i="40"/>
  <c r="D261" i="40"/>
  <c r="D151" i="40"/>
  <c r="K150" i="45"/>
  <c r="I150" i="45"/>
  <c r="M44" i="17"/>
  <c r="N44" i="17" s="1"/>
  <c r="R319" i="51"/>
  <c r="R318" i="51" s="1"/>
  <c r="Q197" i="51"/>
  <c r="D77" i="51"/>
  <c r="D156" i="40"/>
  <c r="D22" i="51"/>
  <c r="D117" i="40"/>
  <c r="D18" i="51"/>
  <c r="D106" i="40"/>
  <c r="D77" i="50"/>
  <c r="D82" i="40"/>
  <c r="D30" i="50"/>
  <c r="D45" i="40"/>
  <c r="D516" i="40"/>
  <c r="D512" i="40"/>
  <c r="D508" i="40"/>
  <c r="D504" i="40"/>
  <c r="D370" i="40"/>
  <c r="D349" i="40"/>
  <c r="D341" i="40"/>
  <c r="D307" i="40"/>
  <c r="D284" i="40"/>
  <c r="D276" i="40"/>
  <c r="D271" i="40"/>
  <c r="D266" i="40"/>
  <c r="D218" i="40"/>
  <c r="D214" i="40"/>
  <c r="D210" i="40"/>
  <c r="D57" i="40"/>
  <c r="I145" i="45"/>
  <c r="K145" i="45"/>
  <c r="L145" i="45"/>
  <c r="I111" i="45"/>
  <c r="H111" i="45"/>
  <c r="S30" i="49"/>
  <c r="U30" i="49" s="1"/>
  <c r="T24" i="49"/>
  <c r="S24" i="49"/>
  <c r="U24" i="49" s="1"/>
  <c r="M395" i="52"/>
  <c r="J532" i="52"/>
  <c r="S297" i="51"/>
  <c r="S235" i="51"/>
  <c r="Q235" i="51"/>
  <c r="D51" i="51"/>
  <c r="D154" i="40"/>
  <c r="D21" i="51"/>
  <c r="D116" i="40"/>
  <c r="D17" i="51"/>
  <c r="D105" i="40"/>
  <c r="D76" i="50"/>
  <c r="D81" i="40"/>
  <c r="D63" i="50"/>
  <c r="D68" i="40"/>
  <c r="D42" i="50"/>
  <c r="D56" i="40"/>
  <c r="D25" i="50"/>
  <c r="D32" i="40"/>
  <c r="D20" i="50"/>
  <c r="D20" i="40"/>
  <c r="L533" i="40"/>
  <c r="D496" i="40"/>
  <c r="D461" i="40"/>
  <c r="D457" i="40"/>
  <c r="D453" i="40"/>
  <c r="D388" i="40"/>
  <c r="D279" i="40"/>
  <c r="D206" i="40"/>
  <c r="D14" i="40"/>
  <c r="AI46" i="17"/>
  <c r="AJ46" i="17" s="1"/>
  <c r="E132" i="22"/>
  <c r="E20" i="22"/>
  <c r="E66" i="22"/>
  <c r="E58" i="22" s="1"/>
  <c r="E119" i="22"/>
  <c r="E77" i="22"/>
  <c r="E45" i="22"/>
  <c r="E156" i="22"/>
  <c r="S294" i="51"/>
  <c r="D62" i="50"/>
  <c r="D67" i="40"/>
  <c r="D24" i="50"/>
  <c r="D31" i="40"/>
  <c r="D19" i="50"/>
  <c r="D19" i="40"/>
  <c r="D479" i="40"/>
  <c r="D445" i="40"/>
  <c r="D409" i="40"/>
  <c r="D405" i="40"/>
  <c r="D397" i="40"/>
  <c r="D379" i="40"/>
  <c r="D329" i="40"/>
  <c r="D289" i="40"/>
  <c r="D282" i="40"/>
  <c r="D264" i="40"/>
  <c r="D259" i="40"/>
  <c r="D254" i="40"/>
  <c r="D237" i="40"/>
  <c r="E84" i="22"/>
  <c r="E12" i="22"/>
  <c r="L735" i="52"/>
  <c r="M735" i="52" s="1"/>
  <c r="L732" i="52"/>
  <c r="M732" i="52" s="1"/>
  <c r="L561" i="52"/>
  <c r="M561" i="52" s="1"/>
  <c r="L503" i="52"/>
  <c r="M503" i="52" s="1"/>
  <c r="K248" i="50"/>
  <c r="D50" i="51"/>
  <c r="D152" i="40"/>
  <c r="D74" i="50"/>
  <c r="D79" i="40"/>
  <c r="D39" i="50"/>
  <c r="D54" i="40"/>
  <c r="D18" i="50"/>
  <c r="D18" i="40"/>
  <c r="L531" i="40"/>
  <c r="D513" i="40"/>
  <c r="D509" i="40"/>
  <c r="D505" i="40"/>
  <c r="D371" i="40"/>
  <c r="D346" i="40"/>
  <c r="D342" i="40"/>
  <c r="D269" i="40"/>
  <c r="D242" i="40"/>
  <c r="D219" i="40"/>
  <c r="D215" i="40"/>
  <c r="D211" i="40"/>
  <c r="D69" i="40"/>
  <c r="D55" i="40"/>
  <c r="I106" i="45"/>
  <c r="H106" i="45"/>
  <c r="I42" i="45"/>
  <c r="K38" i="45"/>
  <c r="F46" i="48"/>
  <c r="N13" i="49"/>
  <c r="K324" i="50"/>
  <c r="K50" i="50"/>
  <c r="L737" i="52"/>
  <c r="M737" i="52" s="1"/>
  <c r="L729" i="52"/>
  <c r="M729" i="52" s="1"/>
  <c r="L563" i="52"/>
  <c r="M563" i="52" s="1"/>
  <c r="L552" i="52"/>
  <c r="M552" i="52" s="1"/>
  <c r="S100" i="51"/>
  <c r="L726" i="52"/>
  <c r="M726" i="52" s="1"/>
  <c r="L715" i="52"/>
  <c r="M715" i="52" s="1"/>
  <c r="L437" i="52"/>
  <c r="M437" i="52" s="1"/>
  <c r="L149" i="45"/>
  <c r="I144" i="45"/>
  <c r="J129" i="45"/>
  <c r="J119" i="45"/>
  <c r="J110" i="45"/>
  <c r="H89" i="45"/>
  <c r="I86" i="45"/>
  <c r="I83" i="45"/>
  <c r="I81" i="45"/>
  <c r="I76" i="45"/>
  <c r="I73" i="45"/>
  <c r="Y46" i="17"/>
  <c r="N45" i="17"/>
  <c r="M42" i="49"/>
  <c r="O42" i="49" s="1"/>
  <c r="P29" i="49"/>
  <c r="S29" i="49" s="1"/>
  <c r="U29" i="49" s="1"/>
  <c r="Q28" i="49"/>
  <c r="H13" i="49"/>
  <c r="G11" i="49"/>
  <c r="I11" i="49" s="1"/>
  <c r="L734" i="52"/>
  <c r="M734" i="52" s="1"/>
  <c r="L550" i="52"/>
  <c r="M550" i="52" s="1"/>
  <c r="L554" i="52"/>
  <c r="M554" i="52" s="1"/>
  <c r="L549" i="52"/>
  <c r="M549" i="52" s="1"/>
  <c r="L270" i="52"/>
  <c r="M270" i="52" s="1"/>
  <c r="J169" i="45"/>
  <c r="J152" i="45"/>
  <c r="K149" i="45"/>
  <c r="I129" i="45"/>
  <c r="I119" i="45"/>
  <c r="I110" i="45"/>
  <c r="J104" i="45"/>
  <c r="H81" i="45"/>
  <c r="K43" i="45"/>
  <c r="H11" i="49"/>
  <c r="K310" i="50"/>
  <c r="L723" i="52"/>
  <c r="M723" i="52" s="1"/>
  <c r="L537" i="52"/>
  <c r="M537" i="52" s="1"/>
  <c r="I169" i="45"/>
  <c r="I152" i="45"/>
  <c r="J149" i="45"/>
  <c r="I104" i="45"/>
  <c r="I43" i="45"/>
  <c r="L40" i="45"/>
  <c r="H119" i="52" s="1"/>
  <c r="F34" i="48"/>
  <c r="T19" i="49"/>
  <c r="P8" i="49"/>
  <c r="S8" i="49" s="1"/>
  <c r="U8" i="49" s="1"/>
  <c r="J8" i="49"/>
  <c r="L728" i="52"/>
  <c r="M728" i="52" s="1"/>
  <c r="L717" i="52"/>
  <c r="M717" i="52" s="1"/>
  <c r="L378" i="52"/>
  <c r="M378" i="52" s="1"/>
  <c r="L56" i="52"/>
  <c r="M56" i="52" s="1"/>
  <c r="L154" i="45"/>
  <c r="K48" i="45"/>
  <c r="K40" i="45"/>
  <c r="K30" i="49"/>
  <c r="K29" i="49"/>
  <c r="M29" i="49" s="1"/>
  <c r="O29" i="49" s="1"/>
  <c r="G13" i="49"/>
  <c r="I13" i="49" s="1"/>
  <c r="L725" i="52"/>
  <c r="M725" i="52" s="1"/>
  <c r="L733" i="52"/>
  <c r="M733" i="52" s="1"/>
  <c r="L555" i="52"/>
  <c r="M555" i="52" s="1"/>
  <c r="L504" i="52"/>
  <c r="M504" i="52" s="1"/>
  <c r="L409" i="52"/>
  <c r="M409" i="52" s="1"/>
  <c r="I171" i="45"/>
  <c r="J154" i="45"/>
  <c r="L722" i="52"/>
  <c r="M722" i="52" s="1"/>
  <c r="L719" i="52"/>
  <c r="M719" i="52" s="1"/>
  <c r="L501" i="52"/>
  <c r="M501" i="52" s="1"/>
  <c r="L532" i="52"/>
  <c r="M532" i="52" s="1"/>
  <c r="L118" i="52"/>
  <c r="M118" i="52" s="1"/>
  <c r="F32" i="48"/>
  <c r="K111" i="50"/>
  <c r="L738" i="52"/>
  <c r="M738" i="52" s="1"/>
  <c r="J163" i="45"/>
  <c r="J142" i="45"/>
  <c r="I131" i="45"/>
  <c r="I121" i="45"/>
  <c r="J90" i="45"/>
  <c r="J87" i="45"/>
  <c r="J84" i="45"/>
  <c r="J82" i="45"/>
  <c r="J80" i="45"/>
  <c r="J77" i="45"/>
  <c r="J74" i="45"/>
  <c r="F40" i="48"/>
  <c r="F24" i="48"/>
  <c r="K27" i="49"/>
  <c r="S12" i="49"/>
  <c r="U12" i="49" s="1"/>
  <c r="J9" i="49"/>
  <c r="M9" i="49" s="1"/>
  <c r="O9" i="49" s="1"/>
  <c r="L710" i="52"/>
  <c r="M710" i="52" s="1"/>
  <c r="L543" i="52"/>
  <c r="M543" i="52" s="1"/>
  <c r="L51" i="52"/>
  <c r="M51" i="52" s="1"/>
  <c r="F52" i="48"/>
  <c r="F38" i="48"/>
  <c r="N12" i="49"/>
  <c r="P11" i="49"/>
  <c r="K282" i="50"/>
  <c r="Q109" i="51"/>
  <c r="L740" i="52"/>
  <c r="M740" i="52" s="1"/>
  <c r="L721" i="52"/>
  <c r="M721" i="52" s="1"/>
  <c r="L545" i="52"/>
  <c r="M545" i="52" s="1"/>
  <c r="L394" i="52"/>
  <c r="M394" i="52" s="1"/>
  <c r="L57" i="52"/>
  <c r="M57" i="52" s="1"/>
  <c r="M730" i="52"/>
  <c r="M431" i="52"/>
  <c r="M418" i="52"/>
  <c r="M273" i="52"/>
  <c r="M269" i="52"/>
  <c r="C30" i="53"/>
  <c r="B27" i="53"/>
  <c r="K267" i="50"/>
  <c r="B34" i="53"/>
  <c r="T11" i="53"/>
  <c r="K8" i="49"/>
  <c r="M8" i="49" s="1"/>
  <c r="O8" i="49" s="1"/>
  <c r="K7" i="49"/>
  <c r="N7" i="49" s="1"/>
  <c r="K183" i="50"/>
  <c r="K523" i="52"/>
  <c r="M274" i="52"/>
  <c r="A44" i="53"/>
  <c r="G8" i="49"/>
  <c r="I8" i="49" s="1"/>
  <c r="J7" i="49"/>
  <c r="M439" i="52"/>
  <c r="M50" i="52"/>
  <c r="M23" i="52"/>
  <c r="D56" i="53"/>
  <c r="M731" i="52"/>
  <c r="K526" i="52"/>
  <c r="M525" i="52"/>
  <c r="K400" i="52"/>
  <c r="G7" i="49"/>
  <c r="I7" i="49" s="1"/>
  <c r="T12" i="53"/>
  <c r="C46" i="53"/>
  <c r="C42" i="53"/>
  <c r="A39" i="53"/>
  <c r="E539" i="52"/>
  <c r="K539" i="52" s="1"/>
  <c r="K271" i="50"/>
  <c r="M811" i="52"/>
  <c r="M739" i="52"/>
  <c r="M727" i="52"/>
  <c r="M272" i="52"/>
  <c r="E548" i="52"/>
  <c r="K548" i="52" s="1"/>
  <c r="I78" i="22" l="1"/>
  <c r="R95" i="51"/>
  <c r="R94" i="51"/>
  <c r="Q97" i="51"/>
  <c r="Q94" i="51"/>
  <c r="Q98" i="51"/>
  <c r="Q96" i="51"/>
  <c r="Q95" i="51"/>
  <c r="Q199" i="51"/>
  <c r="I49" i="26"/>
  <c r="J494" i="52"/>
  <c r="J562" i="52" s="1"/>
  <c r="I270" i="50"/>
  <c r="I266" i="50"/>
  <c r="I272" i="50"/>
  <c r="I268" i="50"/>
  <c r="L96" i="51"/>
  <c r="L95" i="51"/>
  <c r="L94" i="51"/>
  <c r="L97" i="51"/>
  <c r="L98" i="51"/>
  <c r="S259" i="51"/>
  <c r="S11" i="49"/>
  <c r="U11" i="49" s="1"/>
  <c r="J20" i="40"/>
  <c r="R97" i="51"/>
  <c r="I98" i="50"/>
  <c r="I96" i="50"/>
  <c r="I94" i="50"/>
  <c r="B10" i="48"/>
  <c r="B14" i="53"/>
  <c r="Q40" i="49"/>
  <c r="N289" i="52"/>
  <c r="K154" i="50"/>
  <c r="N283" i="52"/>
  <c r="N278" i="52"/>
  <c r="N288" i="52"/>
  <c r="M31" i="49"/>
  <c r="O31" i="49" s="1"/>
  <c r="J14" i="40"/>
  <c r="M521" i="52"/>
  <c r="I19" i="26"/>
  <c r="J19" i="26" s="1"/>
  <c r="G5" i="39" s="1"/>
  <c r="T31" i="49"/>
  <c r="N279" i="52"/>
  <c r="I35" i="26"/>
  <c r="J35" i="26" s="1"/>
  <c r="F5" i="39" s="1"/>
  <c r="M98" i="51"/>
  <c r="M97" i="51"/>
  <c r="M95" i="51"/>
  <c r="M96" i="51"/>
  <c r="M94" i="51"/>
  <c r="S60" i="51"/>
  <c r="B29" i="48"/>
  <c r="B72" i="53"/>
  <c r="I65" i="22"/>
  <c r="J101" i="21"/>
  <c r="G273" i="52" s="1"/>
  <c r="I38" i="22"/>
  <c r="J28" i="17" s="1"/>
  <c r="J25" i="17" s="1"/>
  <c r="K249" i="21"/>
  <c r="I13" i="22"/>
  <c r="I29" i="22" s="1"/>
  <c r="J46" i="52"/>
  <c r="J421" i="52" s="1"/>
  <c r="I98" i="22"/>
  <c r="I436" i="52" s="1"/>
  <c r="I435" i="52" s="1"/>
  <c r="J98" i="52"/>
  <c r="J93" i="52" s="1"/>
  <c r="J358" i="52"/>
  <c r="J359" i="52"/>
  <c r="M211" i="21"/>
  <c r="M214" i="21" s="1"/>
  <c r="K59" i="21"/>
  <c r="K64" i="21" s="1"/>
  <c r="L101" i="21"/>
  <c r="G266" i="52" s="1"/>
  <c r="K149" i="21"/>
  <c r="K155" i="21" s="1"/>
  <c r="G156" i="22"/>
  <c r="I156" i="22" s="1"/>
  <c r="K77" i="17" s="1"/>
  <c r="G20" i="22"/>
  <c r="I20" i="22" s="1"/>
  <c r="G105" i="22"/>
  <c r="I105" i="22" s="1"/>
  <c r="G119" i="22"/>
  <c r="I119" i="22" s="1"/>
  <c r="K69" i="17" s="1"/>
  <c r="G45" i="22"/>
  <c r="I45" i="22" s="1"/>
  <c r="G12" i="22"/>
  <c r="I12" i="22" s="1"/>
  <c r="G132" i="22"/>
  <c r="I132" i="22" s="1"/>
  <c r="G66" i="22"/>
  <c r="G84" i="22"/>
  <c r="I84" i="22" s="1"/>
  <c r="K63" i="17" s="1"/>
  <c r="G77" i="22"/>
  <c r="I77" i="22" s="1"/>
  <c r="J360" i="52" s="1"/>
  <c r="L249" i="21"/>
  <c r="G168" i="22"/>
  <c r="I168" i="22" s="1"/>
  <c r="K79" i="17" s="1"/>
  <c r="J149" i="21"/>
  <c r="J160" i="21" s="1"/>
  <c r="I69" i="22"/>
  <c r="I90" i="22" s="1"/>
  <c r="I112" i="22"/>
  <c r="J69" i="17" s="1"/>
  <c r="I62" i="22"/>
  <c r="I5" i="22"/>
  <c r="J11" i="17" s="1"/>
  <c r="L120" i="21"/>
  <c r="L124" i="21" s="1"/>
  <c r="M81" i="52"/>
  <c r="J17" i="21"/>
  <c r="J20" i="21" s="1"/>
  <c r="J120" i="21"/>
  <c r="J127" i="21" s="1"/>
  <c r="K120" i="21"/>
  <c r="K123" i="21" s="1"/>
  <c r="G360" i="52" s="1"/>
  <c r="I163" i="22"/>
  <c r="I172" i="22" s="1"/>
  <c r="L211" i="21"/>
  <c r="L215" i="21" s="1"/>
  <c r="L229" i="21"/>
  <c r="H77" i="17" s="1"/>
  <c r="J16" i="40"/>
  <c r="N69" i="52"/>
  <c r="N77" i="52"/>
  <c r="N419" i="52"/>
  <c r="N85" i="52"/>
  <c r="N73" i="52"/>
  <c r="N65" i="52"/>
  <c r="N81" i="52"/>
  <c r="E10" i="26"/>
  <c r="I10" i="26" s="1"/>
  <c r="H10" i="26"/>
  <c r="R423" i="40"/>
  <c r="S423" i="40"/>
  <c r="Q220" i="51"/>
  <c r="S220" i="51"/>
  <c r="R220" i="51"/>
  <c r="J49" i="26"/>
  <c r="H6" i="39" s="1"/>
  <c r="E392" i="52"/>
  <c r="E393" i="52"/>
  <c r="K398" i="52"/>
  <c r="L398" i="52" s="1"/>
  <c r="M398" i="52" s="1"/>
  <c r="E391" i="52"/>
  <c r="E390" i="52"/>
  <c r="J45" i="49"/>
  <c r="M44" i="49"/>
  <c r="O44" i="49" s="1"/>
  <c r="N412" i="52"/>
  <c r="N428" i="52"/>
  <c r="N424" i="52"/>
  <c r="Q423" i="40"/>
  <c r="J229" i="21"/>
  <c r="J233" i="21" s="1"/>
  <c r="N425" i="52"/>
  <c r="N413" i="52"/>
  <c r="N429" i="52"/>
  <c r="J175" i="21"/>
  <c r="G437" i="52" s="1"/>
  <c r="K267" i="52"/>
  <c r="E262" i="52"/>
  <c r="N423" i="52"/>
  <c r="N427" i="52"/>
  <c r="N411" i="52"/>
  <c r="J38" i="26"/>
  <c r="S6" i="39" s="1"/>
  <c r="H176" i="45"/>
  <c r="H711" i="52" s="1"/>
  <c r="N211" i="21"/>
  <c r="N215" i="21" s="1"/>
  <c r="K175" i="21"/>
  <c r="G436" i="52" s="1"/>
  <c r="L17" i="21"/>
  <c r="L20" i="21" s="1"/>
  <c r="J51" i="26"/>
  <c r="J6" i="39" s="1"/>
  <c r="N426" i="52"/>
  <c r="N414" i="52"/>
  <c r="N430" i="52"/>
  <c r="K35" i="49"/>
  <c r="M34" i="49"/>
  <c r="O34" i="49" s="1"/>
  <c r="J30" i="17"/>
  <c r="AF30" i="17" s="1"/>
  <c r="AF27" i="17" s="1"/>
  <c r="M553" i="52"/>
  <c r="K40" i="49"/>
  <c r="M39" i="49"/>
  <c r="O39" i="49" s="1"/>
  <c r="E50" i="26"/>
  <c r="I50" i="26" s="1"/>
  <c r="J50" i="26" s="1"/>
  <c r="I6" i="39" s="1"/>
  <c r="H50" i="26"/>
  <c r="S489" i="40"/>
  <c r="R489" i="40"/>
  <c r="N420" i="52"/>
  <c r="N74" i="52"/>
  <c r="N78" i="52"/>
  <c r="N66" i="52"/>
  <c r="N86" i="52"/>
  <c r="N70" i="52"/>
  <c r="N82" i="52"/>
  <c r="R398" i="40"/>
  <c r="Q398" i="40"/>
  <c r="S398" i="40"/>
  <c r="D12" i="26"/>
  <c r="C13" i="26"/>
  <c r="Q452" i="40"/>
  <c r="R452" i="40"/>
  <c r="S452" i="40"/>
  <c r="N68" i="52"/>
  <c r="N88" i="52"/>
  <c r="N422" i="52"/>
  <c r="N80" i="52"/>
  <c r="N84" i="52"/>
  <c r="N76" i="52"/>
  <c r="N72" i="52"/>
  <c r="M511" i="52"/>
  <c r="J249" i="21"/>
  <c r="H79" i="17" s="1"/>
  <c r="K101" i="21"/>
  <c r="G272" i="52" s="1"/>
  <c r="E11" i="26"/>
  <c r="H11" i="26"/>
  <c r="H29" i="17"/>
  <c r="G99" i="52"/>
  <c r="G94" i="52" s="1"/>
  <c r="G98" i="52"/>
  <c r="G93" i="52" s="1"/>
  <c r="H28" i="17"/>
  <c r="K89" i="21"/>
  <c r="G100" i="52"/>
  <c r="G95" i="52" s="1"/>
  <c r="H30" i="17"/>
  <c r="G101" i="52"/>
  <c r="G96" i="52" s="1"/>
  <c r="G102" i="52"/>
  <c r="G97" i="52" s="1"/>
  <c r="J116" i="52"/>
  <c r="J111" i="52" s="1"/>
  <c r="J117" i="52"/>
  <c r="J112" i="52" s="1"/>
  <c r="L149" i="21"/>
  <c r="K70" i="17"/>
  <c r="J472" i="52"/>
  <c r="J115" i="52"/>
  <c r="J110" i="52" s="1"/>
  <c r="K47" i="17"/>
  <c r="J272" i="52"/>
  <c r="K229" i="21"/>
  <c r="K193" i="21"/>
  <c r="J711" i="52"/>
  <c r="K78" i="17"/>
  <c r="K211" i="21"/>
  <c r="H73" i="17" s="1"/>
  <c r="J100" i="52"/>
  <c r="J95" i="52" s="1"/>
  <c r="J114" i="52"/>
  <c r="J109" i="52" s="1"/>
  <c r="J441" i="52" s="1"/>
  <c r="J99" i="52"/>
  <c r="J94" i="52" s="1"/>
  <c r="J193" i="21"/>
  <c r="L193" i="21"/>
  <c r="J101" i="52"/>
  <c r="J96" i="52" s="1"/>
  <c r="J158" i="21"/>
  <c r="J159" i="21"/>
  <c r="L175" i="21"/>
  <c r="J59" i="21"/>
  <c r="L59" i="21"/>
  <c r="H68" i="45"/>
  <c r="H273" i="52" s="1"/>
  <c r="H189" i="45"/>
  <c r="H809" i="52" s="1"/>
  <c r="I16" i="17"/>
  <c r="H15" i="52"/>
  <c r="I68" i="45"/>
  <c r="H272" i="52" s="1"/>
  <c r="I88" i="22"/>
  <c r="I91" i="22"/>
  <c r="I80" i="52"/>
  <c r="I61" i="22"/>
  <c r="G53" i="22"/>
  <c r="I53" i="22" s="1"/>
  <c r="I51" i="22" s="1"/>
  <c r="J24" i="45"/>
  <c r="I23" i="17" s="1"/>
  <c r="J189" i="45"/>
  <c r="I84" i="52"/>
  <c r="I88" i="52"/>
  <c r="I72" i="52"/>
  <c r="I422" i="52"/>
  <c r="I76" i="52"/>
  <c r="I65" i="52"/>
  <c r="I81" i="52"/>
  <c r="I85" i="52"/>
  <c r="I73" i="52"/>
  <c r="I419" i="52"/>
  <c r="I409" i="52"/>
  <c r="I74" i="52"/>
  <c r="I70" i="52"/>
  <c r="I86" i="52"/>
  <c r="I66" i="52"/>
  <c r="I77" i="52"/>
  <c r="I420" i="52"/>
  <c r="I78" i="52"/>
  <c r="I119" i="52"/>
  <c r="I532" i="52"/>
  <c r="I67" i="52"/>
  <c r="I79" i="52"/>
  <c r="I83" i="52"/>
  <c r="I87" i="52"/>
  <c r="I75" i="52"/>
  <c r="I71" i="52"/>
  <c r="I421" i="52"/>
  <c r="J68" i="45"/>
  <c r="I42" i="17" s="1"/>
  <c r="H398" i="52"/>
  <c r="L155" i="45"/>
  <c r="H530" i="52" s="1"/>
  <c r="H91" i="45"/>
  <c r="H358" i="52" s="1"/>
  <c r="H409" i="52"/>
  <c r="I176" i="45"/>
  <c r="H710" i="52" s="1"/>
  <c r="H114" i="52"/>
  <c r="H109" i="52" s="1"/>
  <c r="H441" i="52" s="1"/>
  <c r="H24" i="45"/>
  <c r="I12" i="17" s="1"/>
  <c r="I189" i="45"/>
  <c r="J134" i="45"/>
  <c r="H470" i="52" s="1"/>
  <c r="I398" i="52"/>
  <c r="I149" i="22"/>
  <c r="I160" i="22" s="1"/>
  <c r="J520" i="52"/>
  <c r="J556" i="52"/>
  <c r="J503" i="52"/>
  <c r="J553" i="52"/>
  <c r="J544" i="52"/>
  <c r="J554" i="52"/>
  <c r="J526" i="52"/>
  <c r="J509" i="52"/>
  <c r="J543" i="52"/>
  <c r="J505" i="52"/>
  <c r="I359" i="52"/>
  <c r="I357" i="52"/>
  <c r="I358" i="52"/>
  <c r="H50" i="52"/>
  <c r="H51" i="52"/>
  <c r="H48" i="52"/>
  <c r="H49" i="52"/>
  <c r="H62" i="52"/>
  <c r="R105" i="40"/>
  <c r="S105" i="40"/>
  <c r="Q105" i="40"/>
  <c r="P105" i="40"/>
  <c r="O105" i="40"/>
  <c r="N105" i="40"/>
  <c r="K83" i="40"/>
  <c r="J83" i="40"/>
  <c r="N136" i="40"/>
  <c r="P136" i="40"/>
  <c r="O136" i="40"/>
  <c r="K280" i="40"/>
  <c r="J280" i="40"/>
  <c r="S191" i="51"/>
  <c r="R191" i="51"/>
  <c r="Q191" i="51"/>
  <c r="P191" i="51"/>
  <c r="O191" i="51"/>
  <c r="N191" i="51"/>
  <c r="I95" i="22"/>
  <c r="I92" i="22"/>
  <c r="J63" i="17"/>
  <c r="I371" i="52"/>
  <c r="S213" i="40"/>
  <c r="R213" i="40"/>
  <c r="Q213" i="40"/>
  <c r="P213" i="40"/>
  <c r="O213" i="40"/>
  <c r="N213" i="40"/>
  <c r="K534" i="40"/>
  <c r="J534" i="40"/>
  <c r="Q46" i="51"/>
  <c r="Q43" i="51" s="1"/>
  <c r="Q42" i="51" s="1"/>
  <c r="R46" i="51"/>
  <c r="R43" i="51" s="1"/>
  <c r="R42" i="51" s="1"/>
  <c r="S46" i="51"/>
  <c r="O46" i="51"/>
  <c r="N46" i="51"/>
  <c r="P46" i="51"/>
  <c r="K36" i="50"/>
  <c r="J36" i="50"/>
  <c r="N339" i="40"/>
  <c r="P339" i="40"/>
  <c r="O339" i="40"/>
  <c r="R38" i="51"/>
  <c r="S38" i="51"/>
  <c r="Q38" i="51"/>
  <c r="N38" i="51"/>
  <c r="P38" i="51"/>
  <c r="O38" i="51"/>
  <c r="Q131" i="40"/>
  <c r="R131" i="40"/>
  <c r="S131" i="40"/>
  <c r="P131" i="40"/>
  <c r="O131" i="40"/>
  <c r="N131" i="40"/>
  <c r="D44" i="49"/>
  <c r="G43" i="49"/>
  <c r="I43" i="49" s="1"/>
  <c r="N454" i="40"/>
  <c r="P454" i="40"/>
  <c r="O454" i="40"/>
  <c r="Q39" i="51"/>
  <c r="R39" i="51"/>
  <c r="S39" i="51"/>
  <c r="N39" i="51"/>
  <c r="O39" i="51"/>
  <c r="P39" i="51"/>
  <c r="K246" i="50"/>
  <c r="K241" i="50" s="1"/>
  <c r="J246" i="50"/>
  <c r="K367" i="50"/>
  <c r="K366" i="50"/>
  <c r="K365" i="50"/>
  <c r="K47" i="40"/>
  <c r="J47" i="40"/>
  <c r="S145" i="40"/>
  <c r="AL33" i="17" s="1"/>
  <c r="Q145" i="40"/>
  <c r="P33" i="17" s="1"/>
  <c r="AA33" i="17" s="1"/>
  <c r="R145" i="40"/>
  <c r="N145" i="40"/>
  <c r="P145" i="40"/>
  <c r="AK33" i="17" s="1"/>
  <c r="O145" i="40"/>
  <c r="K263" i="40"/>
  <c r="J263" i="40"/>
  <c r="Q401" i="40"/>
  <c r="R401" i="40"/>
  <c r="S401" i="40"/>
  <c r="P401" i="40"/>
  <c r="O401" i="40"/>
  <c r="N401" i="40"/>
  <c r="Q50" i="51"/>
  <c r="S50" i="51"/>
  <c r="R50" i="51"/>
  <c r="N50" i="51"/>
  <c r="P50" i="51"/>
  <c r="O50" i="51"/>
  <c r="Q214" i="40"/>
  <c r="S214" i="40"/>
  <c r="R214" i="40"/>
  <c r="P214" i="40"/>
  <c r="O214" i="40"/>
  <c r="N214" i="40"/>
  <c r="K66" i="40"/>
  <c r="P16" i="17" s="1"/>
  <c r="J66" i="40"/>
  <c r="K50" i="40"/>
  <c r="J50" i="40"/>
  <c r="P516" i="40"/>
  <c r="O516" i="40"/>
  <c r="N516" i="40"/>
  <c r="K73" i="40"/>
  <c r="J73" i="40"/>
  <c r="O509" i="40"/>
  <c r="N509" i="40"/>
  <c r="P509" i="40"/>
  <c r="K254" i="40"/>
  <c r="J254" i="40"/>
  <c r="Q116" i="40"/>
  <c r="R116" i="40"/>
  <c r="S116" i="40"/>
  <c r="P116" i="40"/>
  <c r="O116" i="40"/>
  <c r="N116" i="40"/>
  <c r="K266" i="40"/>
  <c r="J266" i="40"/>
  <c r="R444" i="40"/>
  <c r="S444" i="40"/>
  <c r="Q444" i="40"/>
  <c r="N444" i="40"/>
  <c r="P444" i="40"/>
  <c r="O444" i="40"/>
  <c r="S118" i="40"/>
  <c r="R118" i="40"/>
  <c r="Q118" i="40"/>
  <c r="N118" i="40"/>
  <c r="P118" i="40"/>
  <c r="O118" i="40"/>
  <c r="E34" i="49"/>
  <c r="G33" i="49"/>
  <c r="I33" i="49" s="1"/>
  <c r="K241" i="40"/>
  <c r="J241" i="40"/>
  <c r="K253" i="40"/>
  <c r="J253" i="40"/>
  <c r="K36" i="40"/>
  <c r="J36" i="40"/>
  <c r="O159" i="40"/>
  <c r="N159" i="40"/>
  <c r="P159" i="40"/>
  <c r="N395" i="40"/>
  <c r="P395" i="40"/>
  <c r="O395" i="40"/>
  <c r="K69" i="50"/>
  <c r="J69" i="50"/>
  <c r="S135" i="40"/>
  <c r="Q135" i="40"/>
  <c r="R135" i="40"/>
  <c r="N135" i="40"/>
  <c r="O135" i="40"/>
  <c r="P135" i="40"/>
  <c r="K62" i="40"/>
  <c r="J62" i="40"/>
  <c r="Q343" i="40"/>
  <c r="R343" i="40"/>
  <c r="S343" i="40"/>
  <c r="P343" i="40"/>
  <c r="N343" i="40"/>
  <c r="O343" i="40"/>
  <c r="S163" i="40"/>
  <c r="S162" i="40" s="1"/>
  <c r="AL35" i="17" s="1"/>
  <c r="AL36" i="17" s="1"/>
  <c r="Q163" i="40"/>
  <c r="Q162" i="40" s="1"/>
  <c r="P35" i="17" s="1"/>
  <c r="R163" i="40"/>
  <c r="R162" i="40" s="1"/>
  <c r="N163" i="40"/>
  <c r="N162" i="40" s="1"/>
  <c r="P163" i="40"/>
  <c r="P162" i="40" s="1"/>
  <c r="AK35" i="17" s="1"/>
  <c r="AK36" i="17" s="1"/>
  <c r="O163" i="40"/>
  <c r="O162" i="40" s="1"/>
  <c r="K240" i="40"/>
  <c r="J240" i="40"/>
  <c r="N458" i="40"/>
  <c r="O458" i="40"/>
  <c r="P458" i="40"/>
  <c r="Q150" i="40"/>
  <c r="R150" i="40"/>
  <c r="S150" i="40"/>
  <c r="O150" i="40"/>
  <c r="P150" i="40"/>
  <c r="N150" i="40"/>
  <c r="R308" i="40"/>
  <c r="Q308" i="40"/>
  <c r="S308" i="40"/>
  <c r="P308" i="40"/>
  <c r="O308" i="40"/>
  <c r="N308" i="40"/>
  <c r="N442" i="40"/>
  <c r="P442" i="40"/>
  <c r="O442" i="40"/>
  <c r="K32" i="50"/>
  <c r="J32" i="50"/>
  <c r="Q209" i="40"/>
  <c r="R209" i="40"/>
  <c r="S209" i="40"/>
  <c r="O209" i="40"/>
  <c r="P209" i="40"/>
  <c r="N209" i="40"/>
  <c r="S33" i="51"/>
  <c r="R33" i="51"/>
  <c r="Q33" i="51"/>
  <c r="O33" i="51"/>
  <c r="N33" i="51"/>
  <c r="P33" i="51"/>
  <c r="Q505" i="40"/>
  <c r="S505" i="40"/>
  <c r="R505" i="40"/>
  <c r="O505" i="40"/>
  <c r="N505" i="40"/>
  <c r="P505" i="40"/>
  <c r="K290" i="40"/>
  <c r="J290" i="40"/>
  <c r="K55" i="40"/>
  <c r="P13" i="17" s="1"/>
  <c r="J55" i="40"/>
  <c r="S513" i="40"/>
  <c r="Q513" i="40"/>
  <c r="R513" i="40"/>
  <c r="P513" i="40"/>
  <c r="N513" i="40"/>
  <c r="O513" i="40"/>
  <c r="K259" i="40"/>
  <c r="P54" i="17" s="1"/>
  <c r="J259" i="40"/>
  <c r="K20" i="50"/>
  <c r="J20" i="50"/>
  <c r="R21" i="51"/>
  <c r="S21" i="51"/>
  <c r="Q21" i="51"/>
  <c r="O21" i="51"/>
  <c r="P21" i="51"/>
  <c r="N21" i="51"/>
  <c r="K271" i="40"/>
  <c r="J271" i="40"/>
  <c r="R478" i="40"/>
  <c r="S478" i="40"/>
  <c r="Q478" i="40"/>
  <c r="N478" i="40"/>
  <c r="O478" i="40"/>
  <c r="P478" i="40"/>
  <c r="S23" i="51"/>
  <c r="Q23" i="51"/>
  <c r="R23" i="51"/>
  <c r="O23" i="51"/>
  <c r="N23" i="51"/>
  <c r="P23" i="51"/>
  <c r="K246" i="40"/>
  <c r="J246" i="40"/>
  <c r="K258" i="40"/>
  <c r="J258" i="40"/>
  <c r="S80" i="51"/>
  <c r="Q80" i="51"/>
  <c r="R80" i="51"/>
  <c r="N80" i="51"/>
  <c r="O80" i="51"/>
  <c r="P80" i="51"/>
  <c r="S399" i="40"/>
  <c r="Q399" i="40"/>
  <c r="R399" i="40"/>
  <c r="N399" i="40"/>
  <c r="O399" i="40"/>
  <c r="P399" i="40"/>
  <c r="O147" i="40"/>
  <c r="P147" i="40"/>
  <c r="N147" i="40"/>
  <c r="Q200" i="40"/>
  <c r="R200" i="40"/>
  <c r="S200" i="40"/>
  <c r="O200" i="40"/>
  <c r="N200" i="40"/>
  <c r="P200" i="40"/>
  <c r="K45" i="50"/>
  <c r="K41" i="50" s="1"/>
  <c r="J45" i="50"/>
  <c r="Q347" i="40"/>
  <c r="R347" i="40"/>
  <c r="P347" i="40"/>
  <c r="S347" i="40"/>
  <c r="N347" i="40"/>
  <c r="O347" i="40"/>
  <c r="Q86" i="51"/>
  <c r="Q85" i="51" s="1"/>
  <c r="S86" i="51"/>
  <c r="S85" i="51" s="1"/>
  <c r="R86" i="51"/>
  <c r="R85" i="51" s="1"/>
  <c r="O86" i="51"/>
  <c r="O85" i="51" s="1"/>
  <c r="P86" i="51"/>
  <c r="P85" i="51" s="1"/>
  <c r="N86" i="51"/>
  <c r="N85" i="51" s="1"/>
  <c r="K245" i="40"/>
  <c r="J245" i="40"/>
  <c r="K77" i="40"/>
  <c r="P19" i="17" s="1"/>
  <c r="J77" i="40"/>
  <c r="Q150" i="51"/>
  <c r="R150" i="51"/>
  <c r="S150" i="51"/>
  <c r="P150" i="51"/>
  <c r="N150" i="51"/>
  <c r="O150" i="51"/>
  <c r="Q223" i="51"/>
  <c r="R223" i="51"/>
  <c r="S223" i="51"/>
  <c r="P223" i="51"/>
  <c r="N223" i="51"/>
  <c r="O223" i="51"/>
  <c r="K71" i="40"/>
  <c r="J71" i="40"/>
  <c r="R158" i="40"/>
  <c r="S158" i="40"/>
  <c r="Q158" i="40"/>
  <c r="P158" i="40"/>
  <c r="O158" i="40"/>
  <c r="N158" i="40"/>
  <c r="K275" i="40"/>
  <c r="J275" i="40"/>
  <c r="Q424" i="40"/>
  <c r="R424" i="40"/>
  <c r="S424" i="40"/>
  <c r="P424" i="40"/>
  <c r="O424" i="40"/>
  <c r="N424" i="40"/>
  <c r="L127" i="21"/>
  <c r="L123" i="21"/>
  <c r="L128" i="21"/>
  <c r="Q205" i="40"/>
  <c r="R205" i="40"/>
  <c r="S205" i="40"/>
  <c r="O205" i="40"/>
  <c r="N205" i="40"/>
  <c r="P205" i="40"/>
  <c r="L548" i="52"/>
  <c r="M548" i="52" s="1"/>
  <c r="L400" i="52"/>
  <c r="M400" i="52" s="1"/>
  <c r="L523" i="52"/>
  <c r="M523" i="52" s="1"/>
  <c r="H134" i="45"/>
  <c r="K69" i="40"/>
  <c r="J69" i="40"/>
  <c r="K264" i="40"/>
  <c r="J264" i="40"/>
  <c r="K32" i="40"/>
  <c r="J32" i="40"/>
  <c r="R154" i="40"/>
  <c r="S154" i="40"/>
  <c r="Q154" i="40"/>
  <c r="P154" i="40"/>
  <c r="N154" i="40"/>
  <c r="O154" i="40"/>
  <c r="K276" i="40"/>
  <c r="J276" i="40"/>
  <c r="K82" i="40"/>
  <c r="J82" i="40"/>
  <c r="R495" i="40"/>
  <c r="Q495" i="40"/>
  <c r="S495" i="40"/>
  <c r="N495" i="40"/>
  <c r="O495" i="40"/>
  <c r="P495" i="40"/>
  <c r="S157" i="40"/>
  <c r="Q157" i="40"/>
  <c r="R157" i="40"/>
  <c r="P157" i="40"/>
  <c r="O157" i="40"/>
  <c r="N157" i="40"/>
  <c r="K278" i="40"/>
  <c r="P58" i="17" s="1"/>
  <c r="J278" i="40"/>
  <c r="K48" i="40"/>
  <c r="F13" i="17" s="1"/>
  <c r="L13" i="17" s="1"/>
  <c r="J48" i="40"/>
  <c r="N403" i="40"/>
  <c r="P403" i="40"/>
  <c r="O403" i="40"/>
  <c r="Q47" i="51"/>
  <c r="R47" i="51"/>
  <c r="S47" i="51"/>
  <c r="O47" i="51"/>
  <c r="N47" i="51"/>
  <c r="P47" i="51"/>
  <c r="K238" i="40"/>
  <c r="J238" i="40"/>
  <c r="K74" i="40"/>
  <c r="J74" i="40"/>
  <c r="J114" i="45"/>
  <c r="S351" i="40"/>
  <c r="Q351" i="40"/>
  <c r="R351" i="40"/>
  <c r="P351" i="40"/>
  <c r="N351" i="40"/>
  <c r="O351" i="40"/>
  <c r="K257" i="40"/>
  <c r="J257" i="40"/>
  <c r="K85" i="40"/>
  <c r="J85" i="40"/>
  <c r="K17" i="40"/>
  <c r="J17" i="40"/>
  <c r="Q455" i="40"/>
  <c r="Q454" i="40" s="1"/>
  <c r="R455" i="40"/>
  <c r="R454" i="40" s="1"/>
  <c r="S455" i="40"/>
  <c r="S454" i="40" s="1"/>
  <c r="N455" i="40"/>
  <c r="P455" i="40"/>
  <c r="O455" i="40"/>
  <c r="S43" i="51"/>
  <c r="S42" i="51" s="1"/>
  <c r="K67" i="50"/>
  <c r="J67" i="50"/>
  <c r="R79" i="51"/>
  <c r="Q79" i="51"/>
  <c r="S79" i="51"/>
  <c r="P79" i="51"/>
  <c r="N79" i="51"/>
  <c r="O79" i="51"/>
  <c r="K240" i="50"/>
  <c r="J240" i="50"/>
  <c r="S221" i="51"/>
  <c r="R221" i="51"/>
  <c r="Q221" i="51"/>
  <c r="O221" i="51"/>
  <c r="N221" i="51"/>
  <c r="P221" i="51"/>
  <c r="D21" i="26"/>
  <c r="C22" i="26"/>
  <c r="S511" i="40"/>
  <c r="Q511" i="40"/>
  <c r="R511" i="40"/>
  <c r="P511" i="40"/>
  <c r="O511" i="40"/>
  <c r="N511" i="40"/>
  <c r="I497" i="52"/>
  <c r="D40" i="26"/>
  <c r="C41" i="26"/>
  <c r="Q218" i="40"/>
  <c r="R218" i="40"/>
  <c r="S218" i="40"/>
  <c r="P218" i="40"/>
  <c r="N218" i="40"/>
  <c r="O218" i="40"/>
  <c r="M30" i="49"/>
  <c r="O30" i="49" s="1"/>
  <c r="N30" i="49"/>
  <c r="S28" i="49"/>
  <c r="U28" i="49" s="1"/>
  <c r="T28" i="49"/>
  <c r="R211" i="40"/>
  <c r="Q211" i="40"/>
  <c r="S211" i="40"/>
  <c r="N211" i="40"/>
  <c r="O211" i="40"/>
  <c r="P211" i="40"/>
  <c r="K18" i="40"/>
  <c r="J18" i="40"/>
  <c r="K282" i="40"/>
  <c r="P62" i="17" s="1"/>
  <c r="J282" i="40"/>
  <c r="K24" i="50"/>
  <c r="J24" i="50"/>
  <c r="Q51" i="51"/>
  <c r="R51" i="51"/>
  <c r="S51" i="51"/>
  <c r="O51" i="51"/>
  <c r="P51" i="51"/>
  <c r="N51" i="51"/>
  <c r="K77" i="50"/>
  <c r="J77" i="50"/>
  <c r="K532" i="40"/>
  <c r="J532" i="40"/>
  <c r="Q78" i="51"/>
  <c r="R78" i="51"/>
  <c r="S78" i="51"/>
  <c r="P78" i="51"/>
  <c r="O78" i="51"/>
  <c r="N78" i="51"/>
  <c r="K281" i="40"/>
  <c r="P61" i="17" s="1"/>
  <c r="J281" i="40"/>
  <c r="J33" i="50"/>
  <c r="K33" i="50"/>
  <c r="R407" i="40"/>
  <c r="S407" i="40"/>
  <c r="Q407" i="40"/>
  <c r="O407" i="40"/>
  <c r="P407" i="40"/>
  <c r="N407" i="40"/>
  <c r="O160" i="40"/>
  <c r="N160" i="40"/>
  <c r="P160" i="40"/>
  <c r="K265" i="40"/>
  <c r="J265" i="40"/>
  <c r="K70" i="50"/>
  <c r="J70" i="50"/>
  <c r="I114" i="45"/>
  <c r="S368" i="40"/>
  <c r="Q368" i="40"/>
  <c r="R368" i="40"/>
  <c r="N368" i="40"/>
  <c r="P368" i="40"/>
  <c r="O368" i="40"/>
  <c r="K267" i="40"/>
  <c r="J267" i="40"/>
  <c r="R107" i="40"/>
  <c r="Q107" i="40"/>
  <c r="S107" i="40"/>
  <c r="O107" i="40"/>
  <c r="N107" i="40"/>
  <c r="P107" i="40"/>
  <c r="K17" i="50"/>
  <c r="J17" i="50"/>
  <c r="S217" i="40"/>
  <c r="R217" i="40"/>
  <c r="Q217" i="40"/>
  <c r="N217" i="40"/>
  <c r="O217" i="40"/>
  <c r="P217" i="40"/>
  <c r="Q231" i="51"/>
  <c r="O231" i="51"/>
  <c r="P231" i="51"/>
  <c r="R231" i="51"/>
  <c r="S231" i="51"/>
  <c r="N231" i="51"/>
  <c r="Q129" i="51"/>
  <c r="K84" i="40"/>
  <c r="J84" i="40"/>
  <c r="Q199" i="40"/>
  <c r="S199" i="40"/>
  <c r="R199" i="40"/>
  <c r="P199" i="40"/>
  <c r="N199" i="40"/>
  <c r="O199" i="40"/>
  <c r="K288" i="40"/>
  <c r="J288" i="40"/>
  <c r="N462" i="40"/>
  <c r="P462" i="40"/>
  <c r="O462" i="40"/>
  <c r="E20" i="26"/>
  <c r="I20" i="26" s="1"/>
  <c r="H20" i="26"/>
  <c r="G264" i="52"/>
  <c r="G267" i="52"/>
  <c r="J47" i="52"/>
  <c r="Q479" i="40"/>
  <c r="R479" i="40"/>
  <c r="S479" i="40"/>
  <c r="P479" i="40"/>
  <c r="O479" i="40"/>
  <c r="N479" i="40"/>
  <c r="R215" i="40"/>
  <c r="Q215" i="40"/>
  <c r="S215" i="40"/>
  <c r="P215" i="40"/>
  <c r="N215" i="40"/>
  <c r="O215" i="40"/>
  <c r="K289" i="40"/>
  <c r="J289" i="40"/>
  <c r="K67" i="40"/>
  <c r="J67" i="40"/>
  <c r="Q206" i="40"/>
  <c r="R206" i="40"/>
  <c r="S206" i="40"/>
  <c r="P206" i="40"/>
  <c r="O206" i="40"/>
  <c r="N206" i="40"/>
  <c r="K56" i="40"/>
  <c r="P14" i="17" s="1"/>
  <c r="J56" i="40"/>
  <c r="S307" i="40"/>
  <c r="N307" i="40"/>
  <c r="Q307" i="40"/>
  <c r="R307" i="40"/>
  <c r="P307" i="40"/>
  <c r="O307" i="40"/>
  <c r="Q106" i="40"/>
  <c r="R106" i="40"/>
  <c r="S106" i="40"/>
  <c r="N106" i="40"/>
  <c r="O106" i="40"/>
  <c r="P106" i="40"/>
  <c r="R151" i="40"/>
  <c r="S151" i="40"/>
  <c r="AL34" i="17" s="1"/>
  <c r="Q151" i="40"/>
  <c r="P34" i="17" s="1"/>
  <c r="AA34" i="17" s="1"/>
  <c r="P151" i="40"/>
  <c r="AK34" i="17" s="1"/>
  <c r="O151" i="40"/>
  <c r="N151" i="40"/>
  <c r="K22" i="40"/>
  <c r="J22" i="40"/>
  <c r="R310" i="40"/>
  <c r="S310" i="40"/>
  <c r="Q310" i="40"/>
  <c r="P310" i="40"/>
  <c r="O310" i="40"/>
  <c r="N310" i="40"/>
  <c r="Q443" i="40"/>
  <c r="S443" i="40"/>
  <c r="R443" i="40"/>
  <c r="N443" i="40"/>
  <c r="P443" i="40"/>
  <c r="O443" i="40"/>
  <c r="R81" i="51"/>
  <c r="S81" i="51"/>
  <c r="Q81" i="51"/>
  <c r="P81" i="51"/>
  <c r="N81" i="51"/>
  <c r="O81" i="51"/>
  <c r="K270" i="40"/>
  <c r="J270" i="40"/>
  <c r="H114" i="45"/>
  <c r="H437" i="52" s="1"/>
  <c r="Q506" i="40"/>
  <c r="S506" i="40"/>
  <c r="R506" i="40"/>
  <c r="P506" i="40"/>
  <c r="O506" i="40"/>
  <c r="N506" i="40"/>
  <c r="K272" i="40"/>
  <c r="J272" i="40"/>
  <c r="S134" i="40"/>
  <c r="R134" i="40"/>
  <c r="Q134" i="40"/>
  <c r="P134" i="40"/>
  <c r="O134" i="40"/>
  <c r="N134" i="40"/>
  <c r="K65" i="40"/>
  <c r="J65" i="40"/>
  <c r="R133" i="51"/>
  <c r="R129" i="51" s="1"/>
  <c r="S133" i="51"/>
  <c r="S129" i="51" s="1"/>
  <c r="Q133" i="51"/>
  <c r="O133" i="51"/>
  <c r="N133" i="51"/>
  <c r="P133" i="51"/>
  <c r="O338" i="40"/>
  <c r="N338" i="40"/>
  <c r="P338" i="40"/>
  <c r="O515" i="40"/>
  <c r="N515" i="40"/>
  <c r="P515" i="40"/>
  <c r="K99" i="50"/>
  <c r="K79" i="50"/>
  <c r="J79" i="50"/>
  <c r="R102" i="51"/>
  <c r="S102" i="51"/>
  <c r="Q102" i="51"/>
  <c r="O102" i="51"/>
  <c r="P102" i="51"/>
  <c r="N102" i="51"/>
  <c r="K254" i="50"/>
  <c r="K253" i="50" s="1"/>
  <c r="K249" i="50" s="1"/>
  <c r="J254" i="50"/>
  <c r="Q239" i="51"/>
  <c r="Q237" i="51" s="1"/>
  <c r="Q236" i="51" s="1"/>
  <c r="S239" i="51"/>
  <c r="S237" i="51" s="1"/>
  <c r="S236" i="51" s="1"/>
  <c r="S262" i="51" s="1"/>
  <c r="R239" i="51"/>
  <c r="R237" i="51" s="1"/>
  <c r="R236" i="51" s="1"/>
  <c r="R278" i="51" s="1"/>
  <c r="O239" i="51"/>
  <c r="P239" i="51"/>
  <c r="N239" i="51"/>
  <c r="L76" i="52"/>
  <c r="M76" i="52" s="1"/>
  <c r="J104" i="21"/>
  <c r="S371" i="40"/>
  <c r="R371" i="40"/>
  <c r="O371" i="40"/>
  <c r="Q371" i="40"/>
  <c r="N371" i="40"/>
  <c r="P371" i="40"/>
  <c r="I495" i="52"/>
  <c r="K21" i="40"/>
  <c r="J21" i="40"/>
  <c r="Q421" i="40"/>
  <c r="R421" i="40"/>
  <c r="P421" i="40"/>
  <c r="S421" i="40"/>
  <c r="O421" i="40"/>
  <c r="N421" i="40"/>
  <c r="S17" i="51"/>
  <c r="Q17" i="51"/>
  <c r="R17" i="51"/>
  <c r="O17" i="51"/>
  <c r="P17" i="51"/>
  <c r="N17" i="51"/>
  <c r="M7" i="49"/>
  <c r="O7" i="49" s="1"/>
  <c r="N219" i="40"/>
  <c r="O219" i="40"/>
  <c r="P219" i="40"/>
  <c r="O329" i="40"/>
  <c r="P329" i="40"/>
  <c r="N329" i="40"/>
  <c r="R341" i="40"/>
  <c r="S341" i="40"/>
  <c r="Q341" i="40"/>
  <c r="N341" i="40"/>
  <c r="O341" i="40"/>
  <c r="P341" i="40"/>
  <c r="K261" i="40"/>
  <c r="P56" i="17" s="1"/>
  <c r="J261" i="40"/>
  <c r="K22" i="50"/>
  <c r="J22" i="50"/>
  <c r="S340" i="40"/>
  <c r="R340" i="40"/>
  <c r="R339" i="40" s="1"/>
  <c r="Q340" i="40"/>
  <c r="Q339" i="40" s="1"/>
  <c r="O340" i="40"/>
  <c r="N340" i="40"/>
  <c r="P340" i="40"/>
  <c r="Q481" i="40"/>
  <c r="R481" i="40"/>
  <c r="S481" i="40"/>
  <c r="O481" i="40"/>
  <c r="N481" i="40"/>
  <c r="P481" i="40"/>
  <c r="P386" i="40"/>
  <c r="O386" i="40"/>
  <c r="N386" i="40"/>
  <c r="K63" i="40"/>
  <c r="J63" i="40"/>
  <c r="N514" i="40"/>
  <c r="O514" i="40"/>
  <c r="P514" i="40"/>
  <c r="K277" i="40"/>
  <c r="J277" i="40"/>
  <c r="R207" i="40"/>
  <c r="S207" i="40"/>
  <c r="Q207" i="40"/>
  <c r="P207" i="40"/>
  <c r="O207" i="40"/>
  <c r="N207" i="40"/>
  <c r="K60" i="50"/>
  <c r="J60" i="50"/>
  <c r="K16" i="50"/>
  <c r="K12" i="50" s="1"/>
  <c r="J16" i="50"/>
  <c r="K244" i="40"/>
  <c r="J244" i="40"/>
  <c r="S158" i="51"/>
  <c r="Q158" i="51"/>
  <c r="R158" i="51"/>
  <c r="O158" i="51"/>
  <c r="P158" i="51"/>
  <c r="N158" i="51"/>
  <c r="R314" i="51"/>
  <c r="R310" i="51" s="1"/>
  <c r="Q314" i="51"/>
  <c r="Q310" i="51" s="1"/>
  <c r="S314" i="51"/>
  <c r="S310" i="51" s="1"/>
  <c r="O314" i="51"/>
  <c r="N314" i="51"/>
  <c r="P314" i="51"/>
  <c r="S108" i="40"/>
  <c r="R108" i="40"/>
  <c r="Q108" i="40"/>
  <c r="P108" i="40"/>
  <c r="N108" i="40"/>
  <c r="O108" i="40"/>
  <c r="Q212" i="40"/>
  <c r="R212" i="40"/>
  <c r="S212" i="40"/>
  <c r="P212" i="40"/>
  <c r="N212" i="40"/>
  <c r="O212" i="40"/>
  <c r="S331" i="40"/>
  <c r="R331" i="40"/>
  <c r="Q331" i="40"/>
  <c r="N331" i="40"/>
  <c r="P331" i="40"/>
  <c r="O331" i="40"/>
  <c r="L47" i="52"/>
  <c r="M47" i="52" s="1"/>
  <c r="M74" i="17"/>
  <c r="N74" i="17" s="1"/>
  <c r="J390" i="52"/>
  <c r="J392" i="52"/>
  <c r="Q496" i="40"/>
  <c r="R496" i="40"/>
  <c r="S496" i="40"/>
  <c r="P496" i="40"/>
  <c r="N496" i="40"/>
  <c r="O496" i="40"/>
  <c r="N404" i="40"/>
  <c r="P404" i="40"/>
  <c r="O404" i="40"/>
  <c r="R309" i="40"/>
  <c r="S309" i="40"/>
  <c r="Q309" i="40"/>
  <c r="N309" i="40"/>
  <c r="P309" i="40"/>
  <c r="O309" i="40"/>
  <c r="K28" i="50"/>
  <c r="J28" i="50"/>
  <c r="Q308" i="51"/>
  <c r="S308" i="51"/>
  <c r="S344" i="51" s="1"/>
  <c r="R308" i="51"/>
  <c r="P308" i="51"/>
  <c r="O308" i="51"/>
  <c r="N308" i="51"/>
  <c r="K78" i="50"/>
  <c r="J78" i="50"/>
  <c r="K62" i="50"/>
  <c r="J62" i="50"/>
  <c r="Q18" i="51"/>
  <c r="R18" i="51"/>
  <c r="S18" i="51"/>
  <c r="N18" i="51"/>
  <c r="O18" i="51"/>
  <c r="P18" i="51"/>
  <c r="J176" i="45"/>
  <c r="N8" i="49"/>
  <c r="K39" i="50"/>
  <c r="J39" i="50"/>
  <c r="Q379" i="40"/>
  <c r="S379" i="40"/>
  <c r="R379" i="40"/>
  <c r="O379" i="40"/>
  <c r="N379" i="40"/>
  <c r="P379" i="40"/>
  <c r="Q388" i="40"/>
  <c r="R388" i="40"/>
  <c r="S388" i="40"/>
  <c r="N388" i="40"/>
  <c r="P388" i="40"/>
  <c r="O388" i="40"/>
  <c r="K68" i="40"/>
  <c r="J68" i="40"/>
  <c r="K155" i="45"/>
  <c r="O349" i="40"/>
  <c r="N349" i="40"/>
  <c r="P349" i="40"/>
  <c r="P117" i="40"/>
  <c r="P99" i="40" s="1"/>
  <c r="N117" i="40"/>
  <c r="N99" i="40" s="1"/>
  <c r="O117" i="40"/>
  <c r="O99" i="40" s="1"/>
  <c r="K34" i="40"/>
  <c r="J34" i="40"/>
  <c r="N170" i="51"/>
  <c r="J309" i="50"/>
  <c r="P230" i="51"/>
  <c r="N160" i="51"/>
  <c r="J255" i="50"/>
  <c r="N381" i="40"/>
  <c r="J333" i="50"/>
  <c r="J332" i="50" s="1"/>
  <c r="J331" i="50" s="1"/>
  <c r="N63" i="51"/>
  <c r="J283" i="50"/>
  <c r="P320" i="40"/>
  <c r="O465" i="40"/>
  <c r="O192" i="51"/>
  <c r="P187" i="40"/>
  <c r="J43" i="40"/>
  <c r="J256" i="40"/>
  <c r="O167" i="51"/>
  <c r="O65" i="51"/>
  <c r="J305" i="50"/>
  <c r="J314" i="50"/>
  <c r="P160" i="51"/>
  <c r="N317" i="40"/>
  <c r="N132" i="51"/>
  <c r="J247" i="50"/>
  <c r="N163" i="51"/>
  <c r="J231" i="50"/>
  <c r="O517" i="40"/>
  <c r="J21" i="50"/>
  <c r="P235" i="51"/>
  <c r="P292" i="51"/>
  <c r="J188" i="50"/>
  <c r="N128" i="51"/>
  <c r="J328" i="50"/>
  <c r="J327" i="50" s="1"/>
  <c r="N466" i="40"/>
  <c r="J219" i="50"/>
  <c r="N314" i="40"/>
  <c r="N378" i="40"/>
  <c r="O121" i="51"/>
  <c r="J168" i="50"/>
  <c r="J159" i="50"/>
  <c r="P293" i="51"/>
  <c r="N301" i="51"/>
  <c r="J215" i="50"/>
  <c r="N238" i="51"/>
  <c r="N237" i="51" s="1"/>
  <c r="N390" i="40"/>
  <c r="P149" i="40"/>
  <c r="O468" i="40"/>
  <c r="O467" i="40" s="1"/>
  <c r="Z74" i="17" s="1"/>
  <c r="J230" i="50"/>
  <c r="O160" i="51"/>
  <c r="N352" i="40"/>
  <c r="J153" i="50"/>
  <c r="P487" i="40"/>
  <c r="O195" i="40"/>
  <c r="N119" i="51"/>
  <c r="P313" i="51"/>
  <c r="P492" i="40"/>
  <c r="P456" i="40"/>
  <c r="O183" i="40"/>
  <c r="J56" i="50"/>
  <c r="N68" i="51"/>
  <c r="O381" i="40"/>
  <c r="J313" i="50"/>
  <c r="O123" i="40"/>
  <c r="O58" i="51"/>
  <c r="P107" i="51"/>
  <c r="P423" i="40"/>
  <c r="N123" i="40"/>
  <c r="N101" i="51"/>
  <c r="N106" i="51"/>
  <c r="P131" i="51"/>
  <c r="O390" i="40"/>
  <c r="O301" i="51"/>
  <c r="P120" i="51"/>
  <c r="N125" i="51"/>
  <c r="J152" i="50"/>
  <c r="O132" i="51"/>
  <c r="P304" i="51"/>
  <c r="P194" i="40"/>
  <c r="P179" i="40" s="1"/>
  <c r="J49" i="50"/>
  <c r="P333" i="40"/>
  <c r="J229" i="50"/>
  <c r="P66" i="51"/>
  <c r="J285" i="50"/>
  <c r="O142" i="40"/>
  <c r="J109" i="50"/>
  <c r="P195" i="40"/>
  <c r="N519" i="40"/>
  <c r="N155" i="40"/>
  <c r="P485" i="40"/>
  <c r="O201" i="40"/>
  <c r="J164" i="50"/>
  <c r="J163" i="50" s="1"/>
  <c r="J162" i="50" s="1"/>
  <c r="N486" i="40"/>
  <c r="P319" i="51"/>
  <c r="P318" i="51" s="1"/>
  <c r="N372" i="40"/>
  <c r="J58" i="50"/>
  <c r="J308" i="50"/>
  <c r="J306" i="50" s="1"/>
  <c r="J197" i="50"/>
  <c r="J107" i="50"/>
  <c r="P353" i="40"/>
  <c r="P161" i="51"/>
  <c r="N121" i="51"/>
  <c r="O312" i="40"/>
  <c r="O49" i="51"/>
  <c r="J205" i="50"/>
  <c r="N149" i="40"/>
  <c r="O63" i="51"/>
  <c r="N181" i="40"/>
  <c r="O131" i="51"/>
  <c r="J322" i="50"/>
  <c r="J139" i="50"/>
  <c r="J196" i="50"/>
  <c r="O297" i="51"/>
  <c r="J141" i="50"/>
  <c r="P163" i="51"/>
  <c r="N122" i="51"/>
  <c r="J111" i="50"/>
  <c r="J311" i="50"/>
  <c r="O486" i="40"/>
  <c r="O155" i="40"/>
  <c r="P74" i="51"/>
  <c r="J325" i="50"/>
  <c r="P58" i="51"/>
  <c r="J135" i="50"/>
  <c r="O163" i="51"/>
  <c r="O352" i="40"/>
  <c r="P352" i="40"/>
  <c r="P394" i="40"/>
  <c r="J150" i="50"/>
  <c r="N464" i="40"/>
  <c r="P206" i="51"/>
  <c r="O161" i="51"/>
  <c r="O107" i="51"/>
  <c r="J310" i="50"/>
  <c r="J336" i="50"/>
  <c r="N37" i="51"/>
  <c r="J104" i="50"/>
  <c r="O447" i="40"/>
  <c r="N153" i="51"/>
  <c r="J60" i="40"/>
  <c r="N353" i="40"/>
  <c r="O430" i="40"/>
  <c r="N135" i="51"/>
  <c r="N73" i="51"/>
  <c r="N187" i="40"/>
  <c r="P67" i="51"/>
  <c r="N316" i="40"/>
  <c r="N131" i="51"/>
  <c r="N130" i="51" s="1"/>
  <c r="P122" i="51"/>
  <c r="N111" i="51"/>
  <c r="P336" i="40"/>
  <c r="O373" i="40"/>
  <c r="O335" i="40"/>
  <c r="N465" i="40"/>
  <c r="N105" i="51"/>
  <c r="N134" i="51"/>
  <c r="J110" i="50"/>
  <c r="O317" i="40"/>
  <c r="O203" i="51"/>
  <c r="O210" i="51"/>
  <c r="O209" i="51" s="1"/>
  <c r="N202" i="51"/>
  <c r="J317" i="50"/>
  <c r="P204" i="51"/>
  <c r="O293" i="51"/>
  <c r="P245" i="51"/>
  <c r="P244" i="51" s="1"/>
  <c r="N520" i="40"/>
  <c r="N203" i="51"/>
  <c r="J145" i="50"/>
  <c r="O204" i="51"/>
  <c r="J127" i="50"/>
  <c r="N296" i="51"/>
  <c r="N431" i="40"/>
  <c r="O149" i="40"/>
  <c r="J30" i="40"/>
  <c r="O292" i="51"/>
  <c r="N297" i="51"/>
  <c r="J157" i="50"/>
  <c r="P312" i="51"/>
  <c r="P311" i="51" s="1"/>
  <c r="P115" i="40"/>
  <c r="J40" i="40"/>
  <c r="O162" i="51"/>
  <c r="N235" i="51"/>
  <c r="P389" i="40"/>
  <c r="O106" i="51"/>
  <c r="O37" i="51"/>
  <c r="P109" i="40"/>
  <c r="P382" i="40"/>
  <c r="N126" i="51"/>
  <c r="N124" i="40"/>
  <c r="J324" i="50"/>
  <c r="J346" i="50"/>
  <c r="J128" i="50"/>
  <c r="O315" i="40"/>
  <c r="O372" i="40"/>
  <c r="J358" i="50"/>
  <c r="O487" i="40"/>
  <c r="O161" i="40"/>
  <c r="O125" i="40"/>
  <c r="J326" i="50"/>
  <c r="J213" i="50"/>
  <c r="N430" i="40"/>
  <c r="N398" i="40"/>
  <c r="J134" i="50"/>
  <c r="N195" i="40"/>
  <c r="P124" i="40"/>
  <c r="P493" i="40"/>
  <c r="P390" i="40"/>
  <c r="O235" i="51"/>
  <c r="P106" i="51"/>
  <c r="N115" i="40"/>
  <c r="N336" i="40"/>
  <c r="O317" i="51"/>
  <c r="O316" i="51" s="1"/>
  <c r="P37" i="51"/>
  <c r="N183" i="40"/>
  <c r="O203" i="40"/>
  <c r="O136" i="51"/>
  <c r="N204" i="51"/>
  <c r="O186" i="40"/>
  <c r="O382" i="40"/>
  <c r="P201" i="40"/>
  <c r="P168" i="51"/>
  <c r="O456" i="40"/>
  <c r="N426" i="40"/>
  <c r="P517" i="40"/>
  <c r="P486" i="40"/>
  <c r="N493" i="40"/>
  <c r="N120" i="51"/>
  <c r="O187" i="40"/>
  <c r="O427" i="40"/>
  <c r="O153" i="51"/>
  <c r="J255" i="40"/>
  <c r="J282" i="50"/>
  <c r="P123" i="40"/>
  <c r="N436" i="40"/>
  <c r="N196" i="40"/>
  <c r="N320" i="40"/>
  <c r="P190" i="40"/>
  <c r="P175" i="40" s="1"/>
  <c r="J136" i="50"/>
  <c r="O296" i="51"/>
  <c r="N206" i="51"/>
  <c r="N109" i="40"/>
  <c r="J316" i="50"/>
  <c r="O323" i="40"/>
  <c r="N227" i="51"/>
  <c r="J304" i="50"/>
  <c r="N186" i="40"/>
  <c r="P431" i="40"/>
  <c r="P468" i="40"/>
  <c r="P467" i="40" s="1"/>
  <c r="AK74" i="17" s="1"/>
  <c r="N203" i="40"/>
  <c r="N483" i="40"/>
  <c r="O126" i="40"/>
  <c r="P132" i="51"/>
  <c r="O101" i="51"/>
  <c r="P181" i="40"/>
  <c r="P65" i="51"/>
  <c r="O122" i="51"/>
  <c r="N517" i="40"/>
  <c r="O32" i="51"/>
  <c r="J208" i="50"/>
  <c r="P128" i="51"/>
  <c r="J337" i="50"/>
  <c r="J286" i="40"/>
  <c r="N382" i="40"/>
  <c r="N110" i="40"/>
  <c r="J61" i="50"/>
  <c r="O184" i="51"/>
  <c r="O105" i="51"/>
  <c r="O493" i="40"/>
  <c r="O125" i="51"/>
  <c r="P103" i="51"/>
  <c r="O398" i="40"/>
  <c r="P184" i="51"/>
  <c r="O196" i="40"/>
  <c r="O327" i="40"/>
  <c r="O135" i="51"/>
  <c r="J359" i="50"/>
  <c r="N56" i="51"/>
  <c r="N456" i="40"/>
  <c r="O143" i="40"/>
  <c r="O384" i="40"/>
  <c r="P439" i="40"/>
  <c r="N148" i="40"/>
  <c r="N52" i="51"/>
  <c r="O436" i="40"/>
  <c r="P335" i="40"/>
  <c r="N116" i="51"/>
  <c r="O120" i="51"/>
  <c r="J236" i="50"/>
  <c r="P143" i="40"/>
  <c r="J53" i="40"/>
  <c r="P126" i="40"/>
  <c r="N383" i="40"/>
  <c r="N312" i="51"/>
  <c r="P117" i="51"/>
  <c r="N323" i="40"/>
  <c r="J161" i="50"/>
  <c r="O332" i="40"/>
  <c r="O435" i="40"/>
  <c r="O103" i="51"/>
  <c r="J80" i="50"/>
  <c r="O115" i="40"/>
  <c r="O503" i="40"/>
  <c r="J50" i="50"/>
  <c r="N402" i="40"/>
  <c r="O129" i="40"/>
  <c r="N374" i="40"/>
  <c r="O501" i="40"/>
  <c r="N130" i="40"/>
  <c r="P503" i="40"/>
  <c r="P321" i="40"/>
  <c r="O190" i="40"/>
  <c r="O175" i="40" s="1"/>
  <c r="P314" i="40"/>
  <c r="J64" i="50"/>
  <c r="J238" i="50"/>
  <c r="J237" i="50" s="1"/>
  <c r="P313" i="40"/>
  <c r="N452" i="40"/>
  <c r="P71" i="51"/>
  <c r="N439" i="40"/>
  <c r="N335" i="40"/>
  <c r="J53" i="50"/>
  <c r="P161" i="40"/>
  <c r="O294" i="51"/>
  <c r="J122" i="50"/>
  <c r="O202" i="51"/>
  <c r="P372" i="40"/>
  <c r="O484" i="40"/>
  <c r="O230" i="51"/>
  <c r="P125" i="51"/>
  <c r="N319" i="51"/>
  <c r="N318" i="51" s="1"/>
  <c r="N389" i="40"/>
  <c r="P428" i="40"/>
  <c r="O128" i="40"/>
  <c r="J108" i="50"/>
  <c r="N492" i="40"/>
  <c r="J57" i="50"/>
  <c r="P373" i="40"/>
  <c r="N450" i="40"/>
  <c r="O202" i="40"/>
  <c r="O56" i="51"/>
  <c r="N380" i="40"/>
  <c r="J75" i="40"/>
  <c r="O482" i="40"/>
  <c r="N319" i="40"/>
  <c r="N499" i="40"/>
  <c r="P326" i="40"/>
  <c r="N197" i="40"/>
  <c r="O429" i="40"/>
  <c r="N337" i="40"/>
  <c r="P502" i="40"/>
  <c r="O114" i="40"/>
  <c r="J24" i="40"/>
  <c r="P108" i="51"/>
  <c r="P306" i="51"/>
  <c r="O309" i="51"/>
  <c r="N41" i="51"/>
  <c r="O326" i="40"/>
  <c r="P426" i="40"/>
  <c r="J251" i="50"/>
  <c r="J214" i="50"/>
  <c r="J147" i="50"/>
  <c r="P309" i="51"/>
  <c r="N125" i="40"/>
  <c r="P316" i="40"/>
  <c r="J344" i="50"/>
  <c r="J343" i="50" s="1"/>
  <c r="J273" i="40"/>
  <c r="O485" i="40"/>
  <c r="P203" i="40"/>
  <c r="O109" i="40"/>
  <c r="P135" i="51"/>
  <c r="P466" i="40"/>
  <c r="O68" i="51"/>
  <c r="P332" i="40"/>
  <c r="P323" i="40"/>
  <c r="P488" i="40"/>
  <c r="P437" i="40"/>
  <c r="O204" i="40"/>
  <c r="O402" i="40"/>
  <c r="J156" i="50"/>
  <c r="J155" i="50" s="1"/>
  <c r="N482" i="40"/>
  <c r="P110" i="40"/>
  <c r="P483" i="40"/>
  <c r="O71" i="51"/>
  <c r="N449" i="40"/>
  <c r="O438" i="40"/>
  <c r="P297" i="51"/>
  <c r="O426" i="40"/>
  <c r="O431" i="40"/>
  <c r="J194" i="50"/>
  <c r="N318" i="40"/>
  <c r="N317" i="51"/>
  <c r="N316" i="51" s="1"/>
  <c r="N393" i="40"/>
  <c r="P325" i="40"/>
  <c r="O188" i="40"/>
  <c r="N433" i="40"/>
  <c r="O337" i="40"/>
  <c r="O460" i="40"/>
  <c r="N375" i="40"/>
  <c r="O520" i="40"/>
  <c r="O464" i="40"/>
  <c r="O192" i="40"/>
  <c r="N438" i="40"/>
  <c r="N313" i="40"/>
  <c r="P197" i="40"/>
  <c r="P327" i="40"/>
  <c r="N425" i="40"/>
  <c r="N322" i="40"/>
  <c r="J28" i="40"/>
  <c r="N71" i="51"/>
  <c r="P312" i="40"/>
  <c r="P225" i="51"/>
  <c r="J345" i="50"/>
  <c r="N201" i="51"/>
  <c r="P83" i="51"/>
  <c r="P82" i="51" s="1"/>
  <c r="O185" i="40"/>
  <c r="O110" i="51"/>
  <c r="N228" i="51"/>
  <c r="N49" i="51"/>
  <c r="N230" i="51"/>
  <c r="P129" i="40"/>
  <c r="P125" i="40"/>
  <c r="J200" i="50"/>
  <c r="O312" i="51"/>
  <c r="P40" i="51"/>
  <c r="O483" i="40"/>
  <c r="O313" i="51"/>
  <c r="O318" i="40"/>
  <c r="P128" i="40"/>
  <c r="J44" i="40"/>
  <c r="N27" i="51"/>
  <c r="J210" i="50"/>
  <c r="O433" i="40"/>
  <c r="O450" i="40"/>
  <c r="J220" i="50"/>
  <c r="N201" i="40"/>
  <c r="N489" i="40"/>
  <c r="P451" i="40"/>
  <c r="O428" i="40"/>
  <c r="P56" i="51"/>
  <c r="J52" i="50"/>
  <c r="N53" i="51"/>
  <c r="O452" i="40"/>
  <c r="N435" i="40"/>
  <c r="O148" i="40"/>
  <c r="N333" i="40"/>
  <c r="P139" i="40"/>
  <c r="O139" i="40"/>
  <c r="J235" i="50"/>
  <c r="J160" i="50"/>
  <c r="J334" i="50"/>
  <c r="P243" i="51"/>
  <c r="P242" i="51" s="1"/>
  <c r="N161" i="51"/>
  <c r="O188" i="51"/>
  <c r="N126" i="40"/>
  <c r="J75" i="50"/>
  <c r="P167" i="51"/>
  <c r="J330" i="50"/>
  <c r="O380" i="40"/>
  <c r="J227" i="50"/>
  <c r="P521" i="40"/>
  <c r="J249" i="40"/>
  <c r="N441" i="40"/>
  <c r="O392" i="40"/>
  <c r="N321" i="40"/>
  <c r="N521" i="40"/>
  <c r="P148" i="40"/>
  <c r="N62" i="51"/>
  <c r="N502" i="40"/>
  <c r="P501" i="40"/>
  <c r="O434" i="40"/>
  <c r="O499" i="40"/>
  <c r="J218" i="50"/>
  <c r="J216" i="50" s="1"/>
  <c r="N326" i="40"/>
  <c r="N428" i="40"/>
  <c r="P324" i="40"/>
  <c r="J40" i="50"/>
  <c r="J146" i="50"/>
  <c r="P302" i="51"/>
  <c r="O111" i="51"/>
  <c r="P162" i="51"/>
  <c r="N103" i="51"/>
  <c r="N451" i="40"/>
  <c r="J209" i="50"/>
  <c r="P383" i="40"/>
  <c r="O128" i="51"/>
  <c r="J142" i="50"/>
  <c r="P500" i="40"/>
  <c r="O440" i="40"/>
  <c r="P315" i="40"/>
  <c r="O319" i="51"/>
  <c r="O318" i="51" s="1"/>
  <c r="O334" i="40"/>
  <c r="P490" i="40"/>
  <c r="O439" i="40"/>
  <c r="O321" i="40"/>
  <c r="P520" i="40"/>
  <c r="P185" i="51"/>
  <c r="N447" i="40"/>
  <c r="P121" i="51"/>
  <c r="P448" i="40"/>
  <c r="P449" i="40"/>
  <c r="J232" i="50"/>
  <c r="P105" i="51"/>
  <c r="O383" i="40"/>
  <c r="O488" i="40"/>
  <c r="O437" i="40"/>
  <c r="P183" i="40"/>
  <c r="J47" i="50"/>
  <c r="N392" i="40"/>
  <c r="P193" i="40"/>
  <c r="O325" i="40"/>
  <c r="P429" i="40"/>
  <c r="P464" i="40"/>
  <c r="P447" i="40"/>
  <c r="J37" i="40"/>
  <c r="P441" i="40"/>
  <c r="N437" i="40"/>
  <c r="P196" i="40"/>
  <c r="P375" i="40"/>
  <c r="O302" i="51"/>
  <c r="J126" i="50"/>
  <c r="N182" i="40"/>
  <c r="P398" i="40"/>
  <c r="N190" i="40"/>
  <c r="N175" i="40" s="1"/>
  <c r="O521" i="40"/>
  <c r="P186" i="40"/>
  <c r="N488" i="40"/>
  <c r="N325" i="40"/>
  <c r="O491" i="40"/>
  <c r="N501" i="40"/>
  <c r="P480" i="40"/>
  <c r="P188" i="40"/>
  <c r="P402" i="40"/>
  <c r="O492" i="40"/>
  <c r="N334" i="40"/>
  <c r="P32" i="51"/>
  <c r="N500" i="40"/>
  <c r="J138" i="50"/>
  <c r="J113" i="50"/>
  <c r="O425" i="40"/>
  <c r="N194" i="40"/>
  <c r="N179" i="40" s="1"/>
  <c r="P192" i="40"/>
  <c r="J279" i="50"/>
  <c r="O140" i="51"/>
  <c r="O139" i="51" s="1"/>
  <c r="P434" i="40"/>
  <c r="P201" i="51"/>
  <c r="O173" i="51"/>
  <c r="O172" i="51" s="1"/>
  <c r="N196" i="51"/>
  <c r="P154" i="51"/>
  <c r="J43" i="50"/>
  <c r="J321" i="50"/>
  <c r="P113" i="51"/>
  <c r="P305" i="51"/>
  <c r="P436" i="40"/>
  <c r="N376" i="40"/>
  <c r="P315" i="51"/>
  <c r="J121" i="50"/>
  <c r="J288" i="50"/>
  <c r="P59" i="51"/>
  <c r="N84" i="51"/>
  <c r="O40" i="51"/>
  <c r="J342" i="50"/>
  <c r="N188" i="51"/>
  <c r="P317" i="40"/>
  <c r="P173" i="51"/>
  <c r="P172" i="51" s="1"/>
  <c r="O70" i="51"/>
  <c r="P191" i="40"/>
  <c r="O306" i="51"/>
  <c r="N324" i="40"/>
  <c r="O19" i="51"/>
  <c r="O193" i="40"/>
  <c r="O241" i="51"/>
  <c r="P377" i="40"/>
  <c r="J206" i="50"/>
  <c r="J66" i="50"/>
  <c r="N327" i="40"/>
  <c r="N446" i="40"/>
  <c r="P484" i="40"/>
  <c r="O394" i="40"/>
  <c r="J247" i="40"/>
  <c r="P376" i="40"/>
  <c r="P140" i="40"/>
  <c r="P296" i="51"/>
  <c r="O243" i="51"/>
  <c r="O242" i="51" s="1"/>
  <c r="J338" i="50"/>
  <c r="N312" i="40"/>
  <c r="J292" i="50"/>
  <c r="J44" i="50"/>
  <c r="O519" i="40"/>
  <c r="O111" i="40"/>
  <c r="N294" i="51"/>
  <c r="J252" i="50"/>
  <c r="N59" i="51"/>
  <c r="O245" i="51"/>
  <c r="O244" i="51" s="1"/>
  <c r="N180" i="40"/>
  <c r="P337" i="40"/>
  <c r="J37" i="50"/>
  <c r="J65" i="50"/>
  <c r="O116" i="51"/>
  <c r="P197" i="51"/>
  <c r="N72" i="51"/>
  <c r="O208" i="51"/>
  <c r="O207" i="51" s="1"/>
  <c r="P27" i="51"/>
  <c r="P195" i="51"/>
  <c r="N487" i="40"/>
  <c r="N156" i="51"/>
  <c r="N65" i="51"/>
  <c r="P73" i="51"/>
  <c r="P109" i="51"/>
  <c r="N117" i="51"/>
  <c r="P136" i="51"/>
  <c r="P101" i="51"/>
  <c r="O480" i="40"/>
  <c r="P435" i="40"/>
  <c r="P144" i="40"/>
  <c r="AK32" i="17" s="1"/>
  <c r="P446" i="40"/>
  <c r="O466" i="40"/>
  <c r="N40" i="51"/>
  <c r="N188" i="40"/>
  <c r="P378" i="40"/>
  <c r="O52" i="51"/>
  <c r="J298" i="50"/>
  <c r="O186" i="51"/>
  <c r="J320" i="50"/>
  <c r="O156" i="51"/>
  <c r="P134" i="51"/>
  <c r="P186" i="51"/>
  <c r="N234" i="51"/>
  <c r="P391" i="40"/>
  <c r="N394" i="40"/>
  <c r="N315" i="51"/>
  <c r="J300" i="50"/>
  <c r="O119" i="51"/>
  <c r="J61" i="40"/>
  <c r="N108" i="51"/>
  <c r="N241" i="51"/>
  <c r="O100" i="51"/>
  <c r="P63" i="51"/>
  <c r="J68" i="50"/>
  <c r="O126" i="51"/>
  <c r="P234" i="51"/>
  <c r="O83" i="51"/>
  <c r="O82" i="51" s="1"/>
  <c r="N74" i="51"/>
  <c r="P218" i="51"/>
  <c r="P220" i="51"/>
  <c r="O375" i="40"/>
  <c r="P238" i="51"/>
  <c r="P237" i="51" s="1"/>
  <c r="N197" i="51"/>
  <c r="N306" i="51"/>
  <c r="N193" i="40"/>
  <c r="J133" i="50"/>
  <c r="P380" i="40"/>
  <c r="J198" i="50"/>
  <c r="N384" i="40"/>
  <c r="N128" i="40"/>
  <c r="O322" i="40"/>
  <c r="P460" i="40"/>
  <c r="P334" i="40"/>
  <c r="N307" i="51"/>
  <c r="N220" i="51"/>
  <c r="N173" i="51"/>
  <c r="N172" i="51" s="1"/>
  <c r="N219" i="51"/>
  <c r="J144" i="50"/>
  <c r="J286" i="50"/>
  <c r="P233" i="51"/>
  <c r="O219" i="51"/>
  <c r="O336" i="40"/>
  <c r="J335" i="50"/>
  <c r="J151" i="50"/>
  <c r="O313" i="40"/>
  <c r="J239" i="50"/>
  <c r="O234" i="51"/>
  <c r="P113" i="40"/>
  <c r="O222" i="51"/>
  <c r="J158" i="50"/>
  <c r="J250" i="40"/>
  <c r="P155" i="40"/>
  <c r="J103" i="50"/>
  <c r="N226" i="51"/>
  <c r="N233" i="51"/>
  <c r="P55" i="51"/>
  <c r="N35" i="51"/>
  <c r="O113" i="51"/>
  <c r="O185" i="51"/>
  <c r="P62" i="51"/>
  <c r="P185" i="40"/>
  <c r="J302" i="50"/>
  <c r="J361" i="50"/>
  <c r="J76" i="40"/>
  <c r="P152" i="51"/>
  <c r="N29" i="51"/>
  <c r="P156" i="51"/>
  <c r="N184" i="51"/>
  <c r="P182" i="40"/>
  <c r="O124" i="40"/>
  <c r="N202" i="40"/>
  <c r="P452" i="40"/>
  <c r="P204" i="40"/>
  <c r="P374" i="40"/>
  <c r="O451" i="40"/>
  <c r="N332" i="40"/>
  <c r="P392" i="40"/>
  <c r="P430" i="40"/>
  <c r="P180" i="40"/>
  <c r="O110" i="40"/>
  <c r="P294" i="51"/>
  <c r="O198" i="51"/>
  <c r="J191" i="50"/>
  <c r="P198" i="51"/>
  <c r="O228" i="51"/>
  <c r="O259" i="51" s="1"/>
  <c r="P427" i="40"/>
  <c r="P311" i="40"/>
  <c r="P317" i="51"/>
  <c r="P316" i="51" s="1"/>
  <c r="O144" i="40"/>
  <c r="N127" i="40"/>
  <c r="O201" i="51"/>
  <c r="O200" i="51" s="1"/>
  <c r="O199" i="51" s="1"/>
  <c r="J169" i="50"/>
  <c r="P228" i="51"/>
  <c r="N142" i="40"/>
  <c r="P111" i="40"/>
  <c r="J299" i="50"/>
  <c r="N293" i="51"/>
  <c r="P208" i="51"/>
  <c r="P207" i="51" s="1"/>
  <c r="P193" i="51"/>
  <c r="P19" i="51"/>
  <c r="O220" i="51"/>
  <c r="O44" i="51"/>
  <c r="O43" i="51" s="1"/>
  <c r="O42" i="51" s="1"/>
  <c r="N309" i="51"/>
  <c r="J132" i="50"/>
  <c r="J130" i="50" s="1"/>
  <c r="P187" i="51"/>
  <c r="P142" i="40"/>
  <c r="J14" i="50"/>
  <c r="J12" i="50" s="1"/>
  <c r="O168" i="51"/>
  <c r="N448" i="40"/>
  <c r="O315" i="51"/>
  <c r="N114" i="51"/>
  <c r="N58" i="51"/>
  <c r="O114" i="51"/>
  <c r="N204" i="40"/>
  <c r="P499" i="40"/>
  <c r="N185" i="40"/>
  <c r="N373" i="40"/>
  <c r="O502" i="40"/>
  <c r="O490" i="40"/>
  <c r="O153" i="40"/>
  <c r="P489" i="40"/>
  <c r="J278" i="50"/>
  <c r="J248" i="50"/>
  <c r="J226" i="50"/>
  <c r="O134" i="51"/>
  <c r="N423" i="40"/>
  <c r="O311" i="40"/>
  <c r="J303" i="50"/>
  <c r="N208" i="51"/>
  <c r="N207" i="51" s="1"/>
  <c r="N193" i="51"/>
  <c r="O41" i="51"/>
  <c r="N114" i="40"/>
  <c r="J248" i="40"/>
  <c r="N129" i="40"/>
  <c r="J25" i="40"/>
  <c r="P114" i="40"/>
  <c r="P112" i="40"/>
  <c r="N218" i="51"/>
  <c r="O193" i="51"/>
  <c r="P202" i="40"/>
  <c r="O184" i="40"/>
  <c r="P189" i="51"/>
  <c r="N149" i="51"/>
  <c r="O152" i="51"/>
  <c r="P210" i="51"/>
  <c r="P209" i="51" s="1"/>
  <c r="O305" i="51"/>
  <c r="O62" i="51"/>
  <c r="O60" i="51" s="1"/>
  <c r="P29" i="51"/>
  <c r="P188" i="51"/>
  <c r="O180" i="40"/>
  <c r="N243" i="51"/>
  <c r="N242" i="51" s="1"/>
  <c r="O74" i="51"/>
  <c r="O233" i="51"/>
  <c r="O197" i="51"/>
  <c r="J224" i="50"/>
  <c r="N185" i="51"/>
  <c r="N292" i="51"/>
  <c r="O206" i="51"/>
  <c r="O181" i="40"/>
  <c r="O130" i="40"/>
  <c r="P450" i="40"/>
  <c r="P322" i="40"/>
  <c r="N503" i="40"/>
  <c r="O489" i="40"/>
  <c r="J244" i="50"/>
  <c r="N169" i="51"/>
  <c r="N391" i="40"/>
  <c r="P307" i="51"/>
  <c r="N151" i="51"/>
  <c r="N124" i="51"/>
  <c r="J26" i="40"/>
  <c r="J212" i="50"/>
  <c r="O170" i="51"/>
  <c r="P208" i="40"/>
  <c r="P170" i="51"/>
  <c r="O304" i="51"/>
  <c r="P153" i="40"/>
  <c r="O377" i="40"/>
  <c r="O320" i="40"/>
  <c r="J202" i="50"/>
  <c r="O27" i="51"/>
  <c r="O448" i="40"/>
  <c r="O117" i="51"/>
  <c r="O324" i="40"/>
  <c r="O500" i="40"/>
  <c r="O441" i="40"/>
  <c r="N460" i="40"/>
  <c r="N491" i="40"/>
  <c r="O333" i="40"/>
  <c r="N143" i="40"/>
  <c r="J46" i="50"/>
  <c r="P100" i="51"/>
  <c r="N112" i="40"/>
  <c r="J290" i="50"/>
  <c r="O154" i="51"/>
  <c r="P126" i="51"/>
  <c r="N111" i="40"/>
  <c r="O112" i="40"/>
  <c r="J221" i="50"/>
  <c r="J165" i="50"/>
  <c r="O295" i="51"/>
  <c r="O197" i="40"/>
  <c r="N140" i="40"/>
  <c r="J129" i="50"/>
  <c r="P222" i="51"/>
  <c r="O195" i="51"/>
  <c r="P124" i="51"/>
  <c r="O140" i="40"/>
  <c r="O187" i="51"/>
  <c r="O29" i="51"/>
  <c r="J115" i="50"/>
  <c r="N55" i="51"/>
  <c r="P68" i="51"/>
  <c r="N222" i="51"/>
  <c r="P219" i="51"/>
  <c r="P127" i="40"/>
  <c r="N186" i="51"/>
  <c r="P72" i="51"/>
  <c r="J55" i="50"/>
  <c r="O151" i="51"/>
  <c r="O226" i="51"/>
  <c r="J71" i="50"/>
  <c r="O389" i="40"/>
  <c r="O446" i="40"/>
  <c r="P319" i="40"/>
  <c r="N434" i="40"/>
  <c r="N153" i="40"/>
  <c r="N315" i="40"/>
  <c r="N440" i="40"/>
  <c r="P381" i="40"/>
  <c r="O423" i="40"/>
  <c r="P226" i="51"/>
  <c r="O67" i="51"/>
  <c r="P227" i="51"/>
  <c r="J149" i="50"/>
  <c r="J329" i="50"/>
  <c r="O240" i="51"/>
  <c r="P49" i="51"/>
  <c r="O169" i="51"/>
  <c r="J356" i="50"/>
  <c r="O208" i="40"/>
  <c r="J123" i="50"/>
  <c r="J72" i="50"/>
  <c r="P465" i="40"/>
  <c r="N377" i="40"/>
  <c r="J101" i="50"/>
  <c r="P138" i="51"/>
  <c r="P137" i="51" s="1"/>
  <c r="N195" i="51"/>
  <c r="P438" i="40"/>
  <c r="N225" i="51"/>
  <c r="J39" i="40"/>
  <c r="O232" i="51"/>
  <c r="N198" i="51"/>
  <c r="N113" i="51"/>
  <c r="N67" i="51"/>
  <c r="P114" i="51"/>
  <c r="J295" i="50"/>
  <c r="O227" i="51"/>
  <c r="O35" i="51"/>
  <c r="O59" i="51"/>
  <c r="P52" i="51"/>
  <c r="O191" i="40"/>
  <c r="N152" i="51"/>
  <c r="N19" i="51"/>
  <c r="N161" i="40"/>
  <c r="P84" i="51"/>
  <c r="O378" i="40"/>
  <c r="O238" i="51"/>
  <c r="O237" i="51" s="1"/>
  <c r="J41" i="40"/>
  <c r="J319" i="50"/>
  <c r="P140" i="51"/>
  <c r="P139" i="51" s="1"/>
  <c r="O391" i="40"/>
  <c r="J276" i="50"/>
  <c r="J274" i="50" s="1"/>
  <c r="P122" i="40"/>
  <c r="J245" i="50"/>
  <c r="N192" i="51"/>
  <c r="N100" i="51"/>
  <c r="O84" i="51"/>
  <c r="N304" i="51"/>
  <c r="O319" i="40"/>
  <c r="N144" i="40"/>
  <c r="N110" i="51"/>
  <c r="P393" i="40"/>
  <c r="O138" i="51"/>
  <c r="O137" i="51" s="1"/>
  <c r="N210" i="51"/>
  <c r="N209" i="51" s="1"/>
  <c r="O124" i="51"/>
  <c r="P192" i="51"/>
  <c r="N245" i="51"/>
  <c r="N244" i="51" s="1"/>
  <c r="N107" i="51"/>
  <c r="N468" i="40"/>
  <c r="N467" i="40" s="1"/>
  <c r="O122" i="40"/>
  <c r="P519" i="40"/>
  <c r="O299" i="51"/>
  <c r="N122" i="40"/>
  <c r="O196" i="51"/>
  <c r="O218" i="51"/>
  <c r="N168" i="51"/>
  <c r="O55" i="51"/>
  <c r="P44" i="51"/>
  <c r="P491" i="40"/>
  <c r="O393" i="40"/>
  <c r="O189" i="51"/>
  <c r="J125" i="50"/>
  <c r="J167" i="50"/>
  <c r="J166" i="50" s="1"/>
  <c r="O314" i="40"/>
  <c r="N154" i="51"/>
  <c r="P35" i="51"/>
  <c r="O72" i="51"/>
  <c r="N136" i="51"/>
  <c r="N140" i="51"/>
  <c r="N139" i="51" s="1"/>
  <c r="N427" i="40"/>
  <c r="O374" i="40"/>
  <c r="J243" i="50"/>
  <c r="J242" i="50" s="1"/>
  <c r="J241" i="50" s="1"/>
  <c r="N313" i="51"/>
  <c r="J234" i="50"/>
  <c r="P203" i="51"/>
  <c r="N167" i="51"/>
  <c r="P111" i="51"/>
  <c r="N66" i="51"/>
  <c r="O66" i="51"/>
  <c r="O109" i="51"/>
  <c r="P433" i="40"/>
  <c r="P130" i="40"/>
  <c r="N138" i="51"/>
  <c r="N137" i="51" s="1"/>
  <c r="N208" i="40"/>
  <c r="P116" i="51"/>
  <c r="P202" i="51"/>
  <c r="N191" i="40"/>
  <c r="P41" i="51"/>
  <c r="O189" i="40"/>
  <c r="O53" i="51"/>
  <c r="N490" i="40"/>
  <c r="N311" i="40"/>
  <c r="J256" i="50"/>
  <c r="J26" i="50"/>
  <c r="P301" i="51"/>
  <c r="P189" i="40"/>
  <c r="J296" i="50"/>
  <c r="P318" i="40"/>
  <c r="N192" i="40"/>
  <c r="N32" i="51"/>
  <c r="N113" i="40"/>
  <c r="P70" i="51"/>
  <c r="O113" i="40"/>
  <c r="N184" i="40"/>
  <c r="N232" i="51"/>
  <c r="O127" i="40"/>
  <c r="P295" i="51"/>
  <c r="N189" i="51"/>
  <c r="N302" i="51"/>
  <c r="O376" i="40"/>
  <c r="P241" i="51"/>
  <c r="J120" i="50"/>
  <c r="P151" i="51"/>
  <c r="P153" i="51"/>
  <c r="O307" i="51"/>
  <c r="P149" i="51"/>
  <c r="J34" i="50"/>
  <c r="O225" i="51"/>
  <c r="P184" i="40"/>
  <c r="P384" i="40"/>
  <c r="P299" i="51"/>
  <c r="N484" i="40"/>
  <c r="P169" i="51"/>
  <c r="J117" i="50"/>
  <c r="P53" i="51"/>
  <c r="N305" i="51"/>
  <c r="N480" i="40"/>
  <c r="J42" i="40"/>
  <c r="P196" i="51"/>
  <c r="N429" i="40"/>
  <c r="O316" i="40"/>
  <c r="J223" i="50"/>
  <c r="N295" i="51"/>
  <c r="N189" i="40"/>
  <c r="P119" i="51"/>
  <c r="O353" i="40"/>
  <c r="O194" i="40"/>
  <c r="O179" i="40" s="1"/>
  <c r="J284" i="50"/>
  <c r="P232" i="51"/>
  <c r="N299" i="51"/>
  <c r="O449" i="40"/>
  <c r="J341" i="50"/>
  <c r="J340" i="50" s="1"/>
  <c r="J339" i="50" s="1"/>
  <c r="P110" i="51"/>
  <c r="O73" i="51"/>
  <c r="P425" i="40"/>
  <c r="N240" i="51"/>
  <c r="N109" i="51"/>
  <c r="N162" i="51"/>
  <c r="P240" i="51"/>
  <c r="N139" i="40"/>
  <c r="N44" i="51"/>
  <c r="P482" i="40"/>
  <c r="O108" i="51"/>
  <c r="N83" i="51"/>
  <c r="N82" i="51" s="1"/>
  <c r="P440" i="40"/>
  <c r="O149" i="51"/>
  <c r="N70" i="51"/>
  <c r="N187" i="51"/>
  <c r="O182" i="40"/>
  <c r="N485" i="40"/>
  <c r="Q344" i="40"/>
  <c r="R344" i="40"/>
  <c r="S344" i="40"/>
  <c r="O344" i="40"/>
  <c r="N344" i="40"/>
  <c r="P344" i="40"/>
  <c r="R120" i="40"/>
  <c r="S120" i="40"/>
  <c r="Q120" i="40"/>
  <c r="O120" i="40"/>
  <c r="N120" i="40"/>
  <c r="P120" i="40"/>
  <c r="Q494" i="40"/>
  <c r="S494" i="40"/>
  <c r="R494" i="40"/>
  <c r="N494" i="40"/>
  <c r="O494" i="40"/>
  <c r="P494" i="40"/>
  <c r="I109" i="22"/>
  <c r="J66" i="17"/>
  <c r="Q422" i="40"/>
  <c r="S422" i="40"/>
  <c r="R422" i="40"/>
  <c r="O422" i="40"/>
  <c r="N422" i="40"/>
  <c r="P422" i="40"/>
  <c r="R138" i="40"/>
  <c r="Q138" i="40"/>
  <c r="S138" i="40"/>
  <c r="O138" i="40"/>
  <c r="N138" i="40"/>
  <c r="P138" i="40"/>
  <c r="K531" i="40"/>
  <c r="J531" i="40"/>
  <c r="K285" i="40"/>
  <c r="K284" i="40" s="1"/>
  <c r="J285" i="40"/>
  <c r="J284" i="40" s="1"/>
  <c r="K252" i="40"/>
  <c r="J252" i="40"/>
  <c r="K52" i="40"/>
  <c r="J52" i="40"/>
  <c r="K195" i="50"/>
  <c r="J195" i="50"/>
  <c r="O350" i="40"/>
  <c r="N350" i="40"/>
  <c r="P350" i="40"/>
  <c r="D52" i="26"/>
  <c r="C53" i="26"/>
  <c r="Q20" i="51"/>
  <c r="R20" i="51"/>
  <c r="S20" i="51"/>
  <c r="O20" i="51"/>
  <c r="P20" i="51"/>
  <c r="N20" i="51"/>
  <c r="Q127" i="51"/>
  <c r="S127" i="51"/>
  <c r="R127" i="51"/>
  <c r="O127" i="51"/>
  <c r="P127" i="51"/>
  <c r="N127" i="51"/>
  <c r="S157" i="51"/>
  <c r="R157" i="51"/>
  <c r="P157" i="51"/>
  <c r="Q157" i="51"/>
  <c r="N157" i="51"/>
  <c r="O157" i="51"/>
  <c r="L68" i="52"/>
  <c r="M68" i="52" s="1"/>
  <c r="E531" i="52"/>
  <c r="K531" i="52" s="1"/>
  <c r="K496" i="52"/>
  <c r="S512" i="40"/>
  <c r="R512" i="40"/>
  <c r="Q512" i="40"/>
  <c r="N512" i="40"/>
  <c r="P512" i="40"/>
  <c r="O512" i="40"/>
  <c r="K243" i="40"/>
  <c r="J243" i="40"/>
  <c r="L526" i="52"/>
  <c r="M526" i="52" s="1"/>
  <c r="M27" i="49"/>
  <c r="O27" i="49" s="1"/>
  <c r="N27" i="49"/>
  <c r="H471" i="52"/>
  <c r="I155" i="45"/>
  <c r="I73" i="17" s="1"/>
  <c r="K269" i="40"/>
  <c r="P57" i="17" s="1"/>
  <c r="J269" i="40"/>
  <c r="S397" i="40"/>
  <c r="S396" i="40" s="1"/>
  <c r="R397" i="40"/>
  <c r="R396" i="40" s="1"/>
  <c r="Q397" i="40"/>
  <c r="Q396" i="40" s="1"/>
  <c r="N397" i="40"/>
  <c r="O397" i="40"/>
  <c r="P397" i="40"/>
  <c r="N453" i="40"/>
  <c r="P453" i="40"/>
  <c r="O453" i="40"/>
  <c r="K63" i="50"/>
  <c r="J63" i="50"/>
  <c r="Q370" i="40"/>
  <c r="R370" i="40"/>
  <c r="S370" i="40"/>
  <c r="P370" i="40"/>
  <c r="N370" i="40"/>
  <c r="O370" i="40"/>
  <c r="Q328" i="40"/>
  <c r="R328" i="40"/>
  <c r="S328" i="40"/>
  <c r="N328" i="40"/>
  <c r="O328" i="40"/>
  <c r="P328" i="40"/>
  <c r="H11" i="52"/>
  <c r="N348" i="40"/>
  <c r="P348" i="40"/>
  <c r="O348" i="40"/>
  <c r="S25" i="51"/>
  <c r="Q25" i="51"/>
  <c r="R25" i="51"/>
  <c r="N25" i="51"/>
  <c r="O25" i="51"/>
  <c r="P25" i="51"/>
  <c r="N29" i="49"/>
  <c r="K529" i="40"/>
  <c r="J529" i="40"/>
  <c r="I103" i="52"/>
  <c r="O459" i="40"/>
  <c r="P459" i="40"/>
  <c r="N459" i="40"/>
  <c r="R216" i="40"/>
  <c r="S216" i="40"/>
  <c r="Q216" i="40"/>
  <c r="O216" i="40"/>
  <c r="N216" i="40"/>
  <c r="P216" i="40"/>
  <c r="Q330" i="40"/>
  <c r="R330" i="40"/>
  <c r="N330" i="40"/>
  <c r="S330" i="40"/>
  <c r="O330" i="40"/>
  <c r="P330" i="40"/>
  <c r="K262" i="40"/>
  <c r="J262" i="40"/>
  <c r="K38" i="50"/>
  <c r="J38" i="50"/>
  <c r="Q171" i="51"/>
  <c r="R171" i="51"/>
  <c r="O171" i="51"/>
  <c r="S171" i="51"/>
  <c r="N171" i="51"/>
  <c r="P171" i="51"/>
  <c r="K535" i="40"/>
  <c r="J535" i="40"/>
  <c r="R347" i="51"/>
  <c r="R290" i="51"/>
  <c r="R346" i="51"/>
  <c r="K23" i="40"/>
  <c r="J23" i="40"/>
  <c r="R119" i="40"/>
  <c r="Q119" i="40"/>
  <c r="S119" i="40"/>
  <c r="N119" i="40"/>
  <c r="N101" i="40" s="1"/>
  <c r="AC32" i="17" s="1"/>
  <c r="P119" i="40"/>
  <c r="P101" i="40" s="1"/>
  <c r="O119" i="40"/>
  <c r="O101" i="40" s="1"/>
  <c r="K239" i="40"/>
  <c r="K237" i="40" s="1"/>
  <c r="J239" i="40"/>
  <c r="J237" i="40" s="1"/>
  <c r="R345" i="40"/>
  <c r="Q345" i="40"/>
  <c r="S345" i="40"/>
  <c r="O345" i="40"/>
  <c r="N345" i="40"/>
  <c r="P345" i="40"/>
  <c r="K263" i="52"/>
  <c r="E289" i="52"/>
  <c r="K289" i="52" s="1"/>
  <c r="E284" i="52"/>
  <c r="K284" i="52" s="1"/>
  <c r="E279" i="52"/>
  <c r="K279" i="52" s="1"/>
  <c r="P497" i="40"/>
  <c r="N497" i="40"/>
  <c r="O497" i="40"/>
  <c r="L88" i="52"/>
  <c r="M88" i="52" s="1"/>
  <c r="Q445" i="40"/>
  <c r="R445" i="40"/>
  <c r="S445" i="40"/>
  <c r="P445" i="40"/>
  <c r="N445" i="40"/>
  <c r="O445" i="40"/>
  <c r="R146" i="40"/>
  <c r="S146" i="40"/>
  <c r="Q146" i="40"/>
  <c r="P146" i="40"/>
  <c r="N146" i="40"/>
  <c r="O146" i="40"/>
  <c r="K72" i="40"/>
  <c r="J72" i="40"/>
  <c r="R279" i="51"/>
  <c r="R283" i="51"/>
  <c r="R276" i="51"/>
  <c r="S432" i="40"/>
  <c r="Q432" i="40"/>
  <c r="R432" i="40"/>
  <c r="P432" i="40"/>
  <c r="O432" i="40"/>
  <c r="N432" i="40"/>
  <c r="K54" i="40"/>
  <c r="J54" i="40"/>
  <c r="L539" i="52"/>
  <c r="M539" i="52" s="1"/>
  <c r="J91" i="45"/>
  <c r="Q342" i="40"/>
  <c r="R342" i="40"/>
  <c r="S342" i="40"/>
  <c r="N342" i="40"/>
  <c r="P342" i="40"/>
  <c r="O342" i="40"/>
  <c r="O405" i="40"/>
  <c r="P405" i="40"/>
  <c r="N405" i="40"/>
  <c r="S457" i="40"/>
  <c r="Q457" i="40"/>
  <c r="R457" i="40"/>
  <c r="O457" i="40"/>
  <c r="P457" i="40"/>
  <c r="N457" i="40"/>
  <c r="K81" i="40"/>
  <c r="J81" i="40"/>
  <c r="K57" i="40"/>
  <c r="P15" i="17" s="1"/>
  <c r="J57" i="40"/>
  <c r="S504" i="40"/>
  <c r="R504" i="40"/>
  <c r="N504" i="40"/>
  <c r="Q504" i="40"/>
  <c r="P504" i="40"/>
  <c r="O504" i="40"/>
  <c r="R156" i="40"/>
  <c r="Q156" i="40"/>
  <c r="S156" i="40"/>
  <c r="P156" i="40"/>
  <c r="N156" i="40"/>
  <c r="O156" i="40"/>
  <c r="O396" i="40"/>
  <c r="N396" i="40"/>
  <c r="P396" i="40"/>
  <c r="K46" i="40"/>
  <c r="J46" i="40"/>
  <c r="H52" i="52"/>
  <c r="K80" i="40"/>
  <c r="K79" i="40" s="1"/>
  <c r="J80" i="40"/>
  <c r="R369" i="40"/>
  <c r="S369" i="40"/>
  <c r="Q369" i="40"/>
  <c r="N369" i="40"/>
  <c r="O369" i="40"/>
  <c r="P369" i="40"/>
  <c r="R133" i="40"/>
  <c r="Q133" i="40"/>
  <c r="S133" i="40"/>
  <c r="N133" i="40"/>
  <c r="P133" i="40"/>
  <c r="O133" i="40"/>
  <c r="K70" i="40"/>
  <c r="J70" i="40"/>
  <c r="P463" i="40"/>
  <c r="O463" i="40"/>
  <c r="N463" i="40"/>
  <c r="P220" i="40"/>
  <c r="O220" i="40"/>
  <c r="N220" i="40"/>
  <c r="K15" i="40"/>
  <c r="K12" i="40" s="1"/>
  <c r="J15" i="40"/>
  <c r="K51" i="40"/>
  <c r="J51" i="40"/>
  <c r="K64" i="40"/>
  <c r="J64" i="40"/>
  <c r="K268" i="40"/>
  <c r="J268" i="40"/>
  <c r="P406" i="40"/>
  <c r="N406" i="40"/>
  <c r="O406" i="40"/>
  <c r="K362" i="50"/>
  <c r="J362" i="50"/>
  <c r="K23" i="50"/>
  <c r="J23" i="50"/>
  <c r="K190" i="50"/>
  <c r="K186" i="50" s="1"/>
  <c r="J190" i="50"/>
  <c r="Q166" i="51"/>
  <c r="Q165" i="51" s="1"/>
  <c r="Q164" i="51" s="1"/>
  <c r="R166" i="51"/>
  <c r="R165" i="51" s="1"/>
  <c r="R164" i="51" s="1"/>
  <c r="S166" i="51"/>
  <c r="S165" i="51" s="1"/>
  <c r="S164" i="51" s="1"/>
  <c r="N166" i="51"/>
  <c r="P166" i="51"/>
  <c r="P165" i="51" s="1"/>
  <c r="P164" i="51" s="1"/>
  <c r="O166" i="51"/>
  <c r="S40" i="49"/>
  <c r="U40" i="49" s="1"/>
  <c r="Q41" i="49"/>
  <c r="S41" i="49" s="1"/>
  <c r="U41" i="49" s="1"/>
  <c r="Q300" i="51"/>
  <c r="S300" i="51"/>
  <c r="R300" i="51"/>
  <c r="O300" i="51"/>
  <c r="P300" i="51"/>
  <c r="N300" i="51"/>
  <c r="J391" i="52"/>
  <c r="J809" i="52"/>
  <c r="R137" i="40"/>
  <c r="S137" i="40"/>
  <c r="O137" i="40"/>
  <c r="Q137" i="40"/>
  <c r="P137" i="40"/>
  <c r="N137" i="40"/>
  <c r="J155" i="45"/>
  <c r="S98" i="51"/>
  <c r="S97" i="51"/>
  <c r="S96" i="51"/>
  <c r="S94" i="51"/>
  <c r="S95" i="51"/>
  <c r="H364" i="52"/>
  <c r="I57" i="17"/>
  <c r="I91" i="45"/>
  <c r="H360" i="52" s="1"/>
  <c r="I49" i="45"/>
  <c r="R346" i="40"/>
  <c r="S346" i="40"/>
  <c r="Q346" i="40"/>
  <c r="N346" i="40"/>
  <c r="O346" i="40"/>
  <c r="P346" i="40"/>
  <c r="N152" i="40"/>
  <c r="O152" i="40"/>
  <c r="P152" i="40"/>
  <c r="R409" i="40"/>
  <c r="R408" i="40" s="1"/>
  <c r="Q409" i="40"/>
  <c r="Q408" i="40" s="1"/>
  <c r="P70" i="17" s="1"/>
  <c r="S409" i="40"/>
  <c r="S408" i="40" s="1"/>
  <c r="O409" i="40"/>
  <c r="O408" i="40" s="1"/>
  <c r="Z70" i="17" s="1"/>
  <c r="N409" i="40"/>
  <c r="N408" i="40" s="1"/>
  <c r="P409" i="40"/>
  <c r="P408" i="40" s="1"/>
  <c r="AK70" i="17" s="1"/>
  <c r="P461" i="40"/>
  <c r="N461" i="40"/>
  <c r="O461" i="40"/>
  <c r="K76" i="50"/>
  <c r="K74" i="50" s="1"/>
  <c r="K73" i="50" s="1"/>
  <c r="J76" i="50"/>
  <c r="J44" i="52"/>
  <c r="Q210" i="40"/>
  <c r="R210" i="40"/>
  <c r="S210" i="40"/>
  <c r="P210" i="40"/>
  <c r="N210" i="40"/>
  <c r="O210" i="40"/>
  <c r="P508" i="40"/>
  <c r="N508" i="40"/>
  <c r="O508" i="40"/>
  <c r="S77" i="51"/>
  <c r="S76" i="51" s="1"/>
  <c r="P77" i="51"/>
  <c r="P76" i="51" s="1"/>
  <c r="P75" i="51" s="1"/>
  <c r="Q77" i="51"/>
  <c r="Q76" i="51" s="1"/>
  <c r="Q75" i="51" s="1"/>
  <c r="R77" i="51"/>
  <c r="R76" i="51" s="1"/>
  <c r="O77" i="51"/>
  <c r="N77" i="51"/>
  <c r="N76" i="51" s="1"/>
  <c r="Q400" i="40"/>
  <c r="R400" i="40"/>
  <c r="S400" i="40"/>
  <c r="O400" i="40"/>
  <c r="P400" i="40"/>
  <c r="N400" i="40"/>
  <c r="K31" i="50"/>
  <c r="J31" i="50"/>
  <c r="S141" i="40"/>
  <c r="Q141" i="40"/>
  <c r="R141" i="40"/>
  <c r="N141" i="40"/>
  <c r="P141" i="40"/>
  <c r="O141" i="40"/>
  <c r="Q507" i="40"/>
  <c r="R507" i="40"/>
  <c r="S507" i="40"/>
  <c r="O507" i="40"/>
  <c r="N507" i="40"/>
  <c r="P507" i="40"/>
  <c r="S34" i="51"/>
  <c r="R34" i="51"/>
  <c r="Q34" i="51"/>
  <c r="P34" i="51"/>
  <c r="O34" i="51"/>
  <c r="N34" i="51"/>
  <c r="S121" i="40"/>
  <c r="Q121" i="40"/>
  <c r="R121" i="40"/>
  <c r="N121" i="40"/>
  <c r="N103" i="40" s="1"/>
  <c r="AC34" i="17" s="1"/>
  <c r="O121" i="40"/>
  <c r="O103" i="40" s="1"/>
  <c r="P121" i="40"/>
  <c r="P103" i="40" s="1"/>
  <c r="K49" i="40"/>
  <c r="J49" i="40"/>
  <c r="Q498" i="40"/>
  <c r="R498" i="40"/>
  <c r="S498" i="40"/>
  <c r="P498" i="40"/>
  <c r="N498" i="40"/>
  <c r="O498" i="40"/>
  <c r="K260" i="40"/>
  <c r="P55" i="17" s="1"/>
  <c r="J260" i="40"/>
  <c r="K58" i="40"/>
  <c r="J58" i="40"/>
  <c r="Q385" i="40"/>
  <c r="S385" i="40"/>
  <c r="R385" i="40"/>
  <c r="O385" i="40"/>
  <c r="P385" i="40"/>
  <c r="N385" i="40"/>
  <c r="I125" i="22"/>
  <c r="J73" i="17" s="1"/>
  <c r="Q205" i="51"/>
  <c r="R205" i="51"/>
  <c r="R182" i="51" s="1"/>
  <c r="S205" i="51"/>
  <c r="P205" i="51"/>
  <c r="N205" i="51"/>
  <c r="O205" i="51"/>
  <c r="H39" i="26"/>
  <c r="E39" i="26"/>
  <c r="K35" i="40"/>
  <c r="J35" i="40"/>
  <c r="Q132" i="40"/>
  <c r="R132" i="40"/>
  <c r="S132" i="40"/>
  <c r="N132" i="40"/>
  <c r="P132" i="40"/>
  <c r="O132" i="40"/>
  <c r="K251" i="40"/>
  <c r="J251" i="40"/>
  <c r="R387" i="40"/>
  <c r="Q387" i="40"/>
  <c r="S387" i="40"/>
  <c r="N387" i="40"/>
  <c r="O387" i="40"/>
  <c r="P387" i="40"/>
  <c r="Q510" i="40"/>
  <c r="Q509" i="40" s="1"/>
  <c r="Q508" i="40" s="1"/>
  <c r="R510" i="40"/>
  <c r="R509" i="40" s="1"/>
  <c r="S510" i="40"/>
  <c r="P510" i="40"/>
  <c r="O510" i="40"/>
  <c r="N510" i="40"/>
  <c r="J393" i="52"/>
  <c r="J99" i="50" l="1"/>
  <c r="J540" i="52"/>
  <c r="J523" i="52"/>
  <c r="J535" i="52"/>
  <c r="J537" i="52"/>
  <c r="J524" i="52"/>
  <c r="J79" i="40"/>
  <c r="N29" i="52" s="1"/>
  <c r="S147" i="51"/>
  <c r="J515" i="52"/>
  <c r="J547" i="52"/>
  <c r="J500" i="52"/>
  <c r="J504" i="52"/>
  <c r="J538" i="52"/>
  <c r="J558" i="52"/>
  <c r="J517" i="52"/>
  <c r="J560" i="52"/>
  <c r="J551" i="52"/>
  <c r="J539" i="52"/>
  <c r="J507" i="52"/>
  <c r="J512" i="52"/>
  <c r="J549" i="52"/>
  <c r="J510" i="52"/>
  <c r="J502" i="52"/>
  <c r="J559" i="52"/>
  <c r="J541" i="52"/>
  <c r="J561" i="52"/>
  <c r="J545" i="52"/>
  <c r="J514" i="52"/>
  <c r="S261" i="51"/>
  <c r="J522" i="52"/>
  <c r="J521" i="52"/>
  <c r="J513" i="52"/>
  <c r="J555" i="52"/>
  <c r="J550" i="52"/>
  <c r="K274" i="40"/>
  <c r="J546" i="52"/>
  <c r="J501" i="52"/>
  <c r="J508" i="52"/>
  <c r="J527" i="52"/>
  <c r="N165" i="51"/>
  <c r="S341" i="51"/>
  <c r="J536" i="52"/>
  <c r="J511" i="52"/>
  <c r="J557" i="52"/>
  <c r="J528" i="52"/>
  <c r="I11" i="26"/>
  <c r="J11" i="26" s="1"/>
  <c r="U5" i="39" s="1"/>
  <c r="J506" i="52"/>
  <c r="J552" i="52"/>
  <c r="J548" i="52"/>
  <c r="J518" i="52"/>
  <c r="J542" i="52"/>
  <c r="N43" i="51"/>
  <c r="N42" i="51" s="1"/>
  <c r="J516" i="52"/>
  <c r="J563" i="52"/>
  <c r="J519" i="52"/>
  <c r="J525" i="52"/>
  <c r="H194" i="45"/>
  <c r="J157" i="21"/>
  <c r="J29" i="17"/>
  <c r="AF29" i="17" s="1"/>
  <c r="AF26" i="17" s="1"/>
  <c r="I48" i="22"/>
  <c r="H43" i="17"/>
  <c r="G268" i="52"/>
  <c r="G263" i="52" s="1"/>
  <c r="H42" i="17"/>
  <c r="AD42" i="17" s="1"/>
  <c r="AD39" i="17" s="1"/>
  <c r="J178" i="21"/>
  <c r="H41" i="17"/>
  <c r="K62" i="21"/>
  <c r="G52" i="52" s="1"/>
  <c r="K129" i="21"/>
  <c r="L130" i="21"/>
  <c r="K104" i="21"/>
  <c r="J83" i="52"/>
  <c r="J153" i="21"/>
  <c r="G395" i="52" s="1"/>
  <c r="G265" i="52"/>
  <c r="G260" i="52" s="1"/>
  <c r="G286" i="52" s="1"/>
  <c r="K157" i="21"/>
  <c r="J155" i="21"/>
  <c r="G397" i="52" s="1"/>
  <c r="K160" i="21"/>
  <c r="J154" i="21"/>
  <c r="G396" i="52" s="1"/>
  <c r="K158" i="21"/>
  <c r="J152" i="21"/>
  <c r="G394" i="52" s="1"/>
  <c r="J87" i="52"/>
  <c r="I35" i="22"/>
  <c r="J71" i="52"/>
  <c r="I32" i="22"/>
  <c r="J79" i="52"/>
  <c r="M215" i="21"/>
  <c r="K69" i="21"/>
  <c r="J126" i="21"/>
  <c r="I24" i="22"/>
  <c r="I59" i="22"/>
  <c r="J41" i="17" s="1"/>
  <c r="U41" i="17" s="1"/>
  <c r="U38" i="17" s="1"/>
  <c r="J156" i="21"/>
  <c r="K70" i="21"/>
  <c r="J371" i="52"/>
  <c r="J355" i="52" s="1"/>
  <c r="J23" i="17"/>
  <c r="J8" i="17" s="1"/>
  <c r="K153" i="21"/>
  <c r="K71" i="21"/>
  <c r="J123" i="21"/>
  <c r="G357" i="52" s="1"/>
  <c r="J75" i="52"/>
  <c r="K68" i="21"/>
  <c r="J128" i="21"/>
  <c r="J67" i="52"/>
  <c r="I86" i="22"/>
  <c r="J129" i="21"/>
  <c r="I122" i="22"/>
  <c r="G709" i="52"/>
  <c r="L233" i="21"/>
  <c r="L232" i="21"/>
  <c r="G532" i="52"/>
  <c r="J53" i="17"/>
  <c r="J50" i="17" s="1"/>
  <c r="L129" i="21"/>
  <c r="K156" i="21"/>
  <c r="J125" i="21"/>
  <c r="G359" i="52" s="1"/>
  <c r="L125" i="21"/>
  <c r="K152" i="21"/>
  <c r="G398" i="52" s="1"/>
  <c r="J26" i="21"/>
  <c r="K66" i="21"/>
  <c r="J124" i="21"/>
  <c r="H52" i="17" s="1"/>
  <c r="L104" i="21"/>
  <c r="K159" i="21"/>
  <c r="K67" i="21"/>
  <c r="J130" i="21"/>
  <c r="K130" i="21"/>
  <c r="I78" i="17"/>
  <c r="AE78" i="17" s="1"/>
  <c r="K63" i="21"/>
  <c r="I360" i="52"/>
  <c r="I355" i="52" s="1"/>
  <c r="K154" i="21"/>
  <c r="K65" i="21"/>
  <c r="J21" i="21"/>
  <c r="J28" i="21" s="1"/>
  <c r="J354" i="52"/>
  <c r="J382" i="52" s="1"/>
  <c r="AG69" i="17"/>
  <c r="V69" i="17"/>
  <c r="I94" i="22"/>
  <c r="J709" i="52"/>
  <c r="J708" i="52" s="1"/>
  <c r="J733" i="52" s="1"/>
  <c r="I23" i="22"/>
  <c r="K51" i="17"/>
  <c r="K48" i="17" s="1"/>
  <c r="J26" i="48" s="1"/>
  <c r="K52" i="17"/>
  <c r="K49" i="17" s="1"/>
  <c r="J27" i="48" s="1"/>
  <c r="G58" i="22"/>
  <c r="I58" i="22" s="1"/>
  <c r="I66" i="22"/>
  <c r="K53" i="17"/>
  <c r="K50" i="17" s="1"/>
  <c r="J28" i="48" s="1"/>
  <c r="K73" i="17"/>
  <c r="J530" i="52"/>
  <c r="J529" i="52" s="1"/>
  <c r="J470" i="52"/>
  <c r="J469" i="52" s="1"/>
  <c r="J474" i="52" s="1"/>
  <c r="J51" i="17"/>
  <c r="J48" i="17" s="1"/>
  <c r="I26" i="48" s="1"/>
  <c r="K12" i="17"/>
  <c r="K9" i="17" s="1"/>
  <c r="K11" i="17"/>
  <c r="K8" i="17" s="1"/>
  <c r="K10" i="17"/>
  <c r="K7" i="17" s="1"/>
  <c r="J11" i="52"/>
  <c r="J22" i="21"/>
  <c r="H12" i="17" s="1"/>
  <c r="J52" i="17"/>
  <c r="J49" i="17" s="1"/>
  <c r="J119" i="52"/>
  <c r="K30" i="17"/>
  <c r="V30" i="17" s="1"/>
  <c r="V27" i="17" s="1"/>
  <c r="K29" i="17"/>
  <c r="K28" i="17"/>
  <c r="K25" i="17" s="1"/>
  <c r="J11" i="48" s="1"/>
  <c r="K66" i="17"/>
  <c r="J436" i="52"/>
  <c r="J435" i="52" s="1"/>
  <c r="I173" i="22"/>
  <c r="H192" i="45"/>
  <c r="I10" i="17"/>
  <c r="I7" i="17" s="1"/>
  <c r="H7" i="53" s="1"/>
  <c r="I9" i="17"/>
  <c r="H9" i="53" s="1"/>
  <c r="I470" i="52"/>
  <c r="I469" i="52" s="1"/>
  <c r="I474" i="52" s="1"/>
  <c r="I28" i="22"/>
  <c r="J12" i="17"/>
  <c r="I25" i="22"/>
  <c r="I33" i="22"/>
  <c r="I30" i="22"/>
  <c r="I26" i="22"/>
  <c r="I11" i="52"/>
  <c r="I28" i="52" s="1"/>
  <c r="I31" i="22"/>
  <c r="I34" i="22"/>
  <c r="J10" i="17"/>
  <c r="I22" i="22"/>
  <c r="K126" i="21"/>
  <c r="K125" i="21"/>
  <c r="K124" i="21"/>
  <c r="L26" i="21"/>
  <c r="K127" i="21"/>
  <c r="H47" i="17"/>
  <c r="K128" i="21"/>
  <c r="K178" i="21"/>
  <c r="H66" i="17"/>
  <c r="AD66" i="17" s="1"/>
  <c r="AD65" i="17" s="1"/>
  <c r="L214" i="21"/>
  <c r="J232" i="21"/>
  <c r="G495" i="52"/>
  <c r="I69" i="17"/>
  <c r="AE69" i="17" s="1"/>
  <c r="I171" i="22"/>
  <c r="J79" i="17"/>
  <c r="I99" i="53" s="1"/>
  <c r="I809" i="52"/>
  <c r="I813" i="52" s="1"/>
  <c r="AF28" i="17"/>
  <c r="AF25" i="17" s="1"/>
  <c r="I37" i="53" s="1"/>
  <c r="U28" i="17"/>
  <c r="U25" i="17" s="1"/>
  <c r="U29" i="17"/>
  <c r="U26" i="17" s="1"/>
  <c r="J27" i="17"/>
  <c r="I13" i="48" s="1"/>
  <c r="U30" i="17"/>
  <c r="U27" i="17" s="1"/>
  <c r="I28" i="53" s="1"/>
  <c r="L22" i="21"/>
  <c r="L33" i="21" s="1"/>
  <c r="L21" i="21"/>
  <c r="L24" i="21" s="1"/>
  <c r="G530" i="52"/>
  <c r="N214" i="21"/>
  <c r="H78" i="17"/>
  <c r="H76" i="17" s="1"/>
  <c r="G435" i="52"/>
  <c r="G442" i="52" s="1"/>
  <c r="J252" i="21"/>
  <c r="J10" i="26"/>
  <c r="T5" i="39" s="1"/>
  <c r="C14" i="26"/>
  <c r="D13" i="26"/>
  <c r="E426" i="52"/>
  <c r="K426" i="52" s="1"/>
  <c r="L426" i="52" s="1"/>
  <c r="M426" i="52" s="1"/>
  <c r="E414" i="52"/>
  <c r="K414" i="52" s="1"/>
  <c r="K393" i="52"/>
  <c r="E430" i="52"/>
  <c r="K430" i="52" s="1"/>
  <c r="L430" i="52" s="1"/>
  <c r="M430" i="52" s="1"/>
  <c r="O165" i="51"/>
  <c r="O164" i="51" s="1"/>
  <c r="R264" i="51"/>
  <c r="N311" i="51"/>
  <c r="S275" i="51"/>
  <c r="I47" i="17"/>
  <c r="I39" i="17" s="1"/>
  <c r="J254" i="21"/>
  <c r="H12" i="26"/>
  <c r="E12" i="26"/>
  <c r="I12" i="26" s="1"/>
  <c r="E429" i="52"/>
  <c r="K429" i="52" s="1"/>
  <c r="L429" i="52" s="1"/>
  <c r="M429" i="52" s="1"/>
  <c r="K392" i="52"/>
  <c r="L392" i="52" s="1"/>
  <c r="M392" i="52" s="1"/>
  <c r="E425" i="52"/>
  <c r="K425" i="52" s="1"/>
  <c r="L425" i="52" s="1"/>
  <c r="M425" i="52" s="1"/>
  <c r="E413" i="52"/>
  <c r="K413" i="52" s="1"/>
  <c r="L413" i="52" s="1"/>
  <c r="M413" i="52" s="1"/>
  <c r="R270" i="51"/>
  <c r="N129" i="51"/>
  <c r="J253" i="21"/>
  <c r="K36" i="49"/>
  <c r="M36" i="49" s="1"/>
  <c r="O36" i="49" s="1"/>
  <c r="M35" i="49"/>
  <c r="O35" i="49" s="1"/>
  <c r="R265" i="51"/>
  <c r="S419" i="40"/>
  <c r="AL73" i="17" s="1"/>
  <c r="AL72" i="17" s="1"/>
  <c r="O236" i="51"/>
  <c r="J253" i="50"/>
  <c r="K287" i="40"/>
  <c r="K283" i="40" s="1"/>
  <c r="S277" i="51"/>
  <c r="N75" i="51"/>
  <c r="R277" i="51"/>
  <c r="R268" i="51"/>
  <c r="S266" i="51"/>
  <c r="J274" i="40"/>
  <c r="S182" i="51"/>
  <c r="E288" i="52"/>
  <c r="K288" i="52" s="1"/>
  <c r="L288" i="52" s="1"/>
  <c r="M288" i="52" s="1"/>
  <c r="E283" i="52"/>
  <c r="K283" i="52" s="1"/>
  <c r="L283" i="52" s="1"/>
  <c r="M283" i="52" s="1"/>
  <c r="E278" i="52"/>
  <c r="K278" i="52" s="1"/>
  <c r="L278" i="52" s="1"/>
  <c r="M278" i="52" s="1"/>
  <c r="K262" i="52"/>
  <c r="L262" i="52" s="1"/>
  <c r="M262" i="52" s="1"/>
  <c r="I39" i="26"/>
  <c r="R75" i="51"/>
  <c r="R269" i="51"/>
  <c r="R272" i="51"/>
  <c r="R395" i="40"/>
  <c r="S263" i="51"/>
  <c r="L267" i="52"/>
  <c r="M267" i="52" s="1"/>
  <c r="R263" i="51"/>
  <c r="R262" i="51"/>
  <c r="S395" i="40"/>
  <c r="S366" i="40" s="1"/>
  <c r="S265" i="51"/>
  <c r="K41" i="49"/>
  <c r="M41" i="49" s="1"/>
  <c r="O41" i="49" s="1"/>
  <c r="M40" i="49"/>
  <c r="O40" i="49" s="1"/>
  <c r="R271" i="51"/>
  <c r="S273" i="51"/>
  <c r="J46" i="49"/>
  <c r="M46" i="49" s="1"/>
  <c r="O46" i="49" s="1"/>
  <c r="M45" i="49"/>
  <c r="O45" i="49" s="1"/>
  <c r="R274" i="51"/>
  <c r="P236" i="51"/>
  <c r="N236" i="51"/>
  <c r="N282" i="51" s="1"/>
  <c r="S281" i="51"/>
  <c r="E427" i="52"/>
  <c r="K427" i="52" s="1"/>
  <c r="K390" i="52"/>
  <c r="E411" i="52"/>
  <c r="K411" i="52" s="1"/>
  <c r="L411" i="52" s="1"/>
  <c r="M411" i="52" s="1"/>
  <c r="E423" i="52"/>
  <c r="K423" i="52" s="1"/>
  <c r="L423" i="52" s="1"/>
  <c r="M423" i="52" s="1"/>
  <c r="S509" i="40"/>
  <c r="S508" i="40" s="1"/>
  <c r="N366" i="40"/>
  <c r="R266" i="51"/>
  <c r="J20" i="26"/>
  <c r="H5" i="39" s="1"/>
  <c r="G809" i="52"/>
  <c r="G812" i="52" s="1"/>
  <c r="G711" i="52"/>
  <c r="K391" i="52"/>
  <c r="L391" i="52" s="1"/>
  <c r="M391" i="52" s="1"/>
  <c r="E424" i="52"/>
  <c r="K424" i="52" s="1"/>
  <c r="L424" i="52" s="1"/>
  <c r="M424" i="52" s="1"/>
  <c r="E412" i="52"/>
  <c r="K412" i="52" s="1"/>
  <c r="E428" i="52"/>
  <c r="K428" i="52" s="1"/>
  <c r="L428" i="52" s="1"/>
  <c r="M428" i="52" s="1"/>
  <c r="G259" i="52"/>
  <c r="G275" i="52" s="1"/>
  <c r="K528" i="40"/>
  <c r="K538" i="40" s="1"/>
  <c r="V70" i="17"/>
  <c r="AG70" i="17"/>
  <c r="L70" i="21"/>
  <c r="L62" i="21"/>
  <c r="G62" i="52" s="1"/>
  <c r="L69" i="21"/>
  <c r="L64" i="21"/>
  <c r="L68" i="21"/>
  <c r="L63" i="21"/>
  <c r="L65" i="21"/>
  <c r="L71" i="21"/>
  <c r="L67" i="21"/>
  <c r="L66" i="21"/>
  <c r="K76" i="17"/>
  <c r="AG77" i="17"/>
  <c r="V77" i="17"/>
  <c r="G497" i="52"/>
  <c r="K214" i="21"/>
  <c r="K215" i="21"/>
  <c r="S29" i="17"/>
  <c r="S26" i="17" s="1"/>
  <c r="AD29" i="17"/>
  <c r="AD26" i="17" s="1"/>
  <c r="H26" i="17"/>
  <c r="G261" i="52"/>
  <c r="G287" i="52" s="1"/>
  <c r="AG78" i="17"/>
  <c r="V78" i="17"/>
  <c r="L156" i="21"/>
  <c r="L157" i="21"/>
  <c r="L159" i="21"/>
  <c r="L155" i="21"/>
  <c r="L153" i="21"/>
  <c r="L158" i="21"/>
  <c r="L160" i="21"/>
  <c r="L154" i="21"/>
  <c r="L152" i="21"/>
  <c r="G409" i="52" s="1"/>
  <c r="G262" i="52"/>
  <c r="G278" i="52" s="1"/>
  <c r="K68" i="17"/>
  <c r="J36" i="48" s="1"/>
  <c r="H69" i="17"/>
  <c r="G470" i="52"/>
  <c r="L196" i="21"/>
  <c r="H70" i="17"/>
  <c r="G472" i="52"/>
  <c r="J196" i="21"/>
  <c r="K196" i="21"/>
  <c r="G471" i="52"/>
  <c r="J31" i="21"/>
  <c r="H10" i="17"/>
  <c r="J23" i="21"/>
  <c r="G8" i="52"/>
  <c r="J27" i="21"/>
  <c r="J34" i="21"/>
  <c r="J64" i="21"/>
  <c r="G50" i="52" s="1"/>
  <c r="J68" i="21"/>
  <c r="J62" i="21"/>
  <c r="G48" i="52" s="1"/>
  <c r="J66" i="21"/>
  <c r="J71" i="21"/>
  <c r="J63" i="21"/>
  <c r="G49" i="52" s="1"/>
  <c r="J69" i="21"/>
  <c r="J67" i="21"/>
  <c r="J49" i="52"/>
  <c r="J45" i="52" s="1"/>
  <c r="J82" i="52" s="1"/>
  <c r="J70" i="21"/>
  <c r="J65" i="21"/>
  <c r="G51" i="52" s="1"/>
  <c r="G710" i="52"/>
  <c r="K232" i="21"/>
  <c r="K233" i="21"/>
  <c r="G53" i="48"/>
  <c r="G99" i="53"/>
  <c r="H83" i="17"/>
  <c r="H82" i="17"/>
  <c r="H84" i="17"/>
  <c r="S30" i="17"/>
  <c r="S27" i="17" s="1"/>
  <c r="H27" i="17"/>
  <c r="AD30" i="17"/>
  <c r="AD27" i="17" s="1"/>
  <c r="S73" i="17"/>
  <c r="S72" i="17" s="1"/>
  <c r="H72" i="17"/>
  <c r="AD73" i="17"/>
  <c r="AD72" i="17" s="1"/>
  <c r="AD28" i="17"/>
  <c r="AD25" i="17" s="1"/>
  <c r="S28" i="17"/>
  <c r="S25" i="17" s="1"/>
  <c r="H25" i="17"/>
  <c r="I11" i="17"/>
  <c r="I8" i="17" s="1"/>
  <c r="H8" i="48" s="1"/>
  <c r="H193" i="45"/>
  <c r="I79" i="17"/>
  <c r="I83" i="17" s="1"/>
  <c r="L158" i="45"/>
  <c r="H8" i="52"/>
  <c r="H5" i="52" s="1"/>
  <c r="H393" i="52"/>
  <c r="H426" i="52" s="1"/>
  <c r="H268" i="52"/>
  <c r="H263" i="52" s="1"/>
  <c r="H267" i="52"/>
  <c r="H262" i="52" s="1"/>
  <c r="H264" i="52"/>
  <c r="H259" i="52" s="1"/>
  <c r="H280" i="52" s="1"/>
  <c r="H266" i="52"/>
  <c r="H261" i="52" s="1"/>
  <c r="I41" i="17"/>
  <c r="I43" i="17"/>
  <c r="AE43" i="17" s="1"/>
  <c r="AE40" i="17" s="1"/>
  <c r="H265" i="52"/>
  <c r="H260" i="52" s="1"/>
  <c r="J77" i="17"/>
  <c r="J76" i="17" s="1"/>
  <c r="I159" i="22"/>
  <c r="I494" i="52"/>
  <c r="I548" i="52" s="1"/>
  <c r="H117" i="52"/>
  <c r="H112" i="52" s="1"/>
  <c r="I709" i="52"/>
  <c r="I708" i="52" s="1"/>
  <c r="I730" i="52" s="1"/>
  <c r="H116" i="52"/>
  <c r="H111" i="52" s="1"/>
  <c r="H118" i="52"/>
  <c r="H113" i="52" s="1"/>
  <c r="H115" i="52"/>
  <c r="H110" i="52" s="1"/>
  <c r="H359" i="52"/>
  <c r="I53" i="17"/>
  <c r="H357" i="52"/>
  <c r="I52" i="17"/>
  <c r="I51" i="17"/>
  <c r="H9" i="52"/>
  <c r="H6" i="52" s="1"/>
  <c r="H37" i="52" s="1"/>
  <c r="H10" i="52"/>
  <c r="H7" i="52" s="1"/>
  <c r="AE42" i="17"/>
  <c r="AE39" i="17" s="1"/>
  <c r="T42" i="17"/>
  <c r="T39" i="17" s="1"/>
  <c r="H391" i="52"/>
  <c r="H412" i="52" s="1"/>
  <c r="H392" i="52"/>
  <c r="H425" i="52" s="1"/>
  <c r="H390" i="52"/>
  <c r="H423" i="52" s="1"/>
  <c r="I39" i="53"/>
  <c r="I17" i="48"/>
  <c r="I16" i="48"/>
  <c r="I38" i="53"/>
  <c r="I15" i="53"/>
  <c r="I11" i="48"/>
  <c r="I393" i="52"/>
  <c r="I392" i="52"/>
  <c r="I391" i="52"/>
  <c r="I390" i="52"/>
  <c r="S331" i="51"/>
  <c r="S352" i="51"/>
  <c r="S330" i="51"/>
  <c r="O76" i="51"/>
  <c r="O75" i="51" s="1"/>
  <c r="AA70" i="17"/>
  <c r="AL70" i="17"/>
  <c r="H100" i="52"/>
  <c r="H95" i="52" s="1"/>
  <c r="I29" i="17"/>
  <c r="H101" i="52"/>
  <c r="H96" i="52" s="1"/>
  <c r="I28" i="17"/>
  <c r="I30" i="17"/>
  <c r="H98" i="52"/>
  <c r="H93" i="52" s="1"/>
  <c r="H99" i="52"/>
  <c r="H94" i="52" s="1"/>
  <c r="H102" i="52"/>
  <c r="H97" i="52" s="1"/>
  <c r="L27" i="21"/>
  <c r="L31" i="21"/>
  <c r="L34" i="21"/>
  <c r="L23" i="21"/>
  <c r="H23" i="17"/>
  <c r="G22" i="52"/>
  <c r="N164" i="51"/>
  <c r="L279" i="52"/>
  <c r="M279" i="52" s="1"/>
  <c r="P147" i="51"/>
  <c r="J270" i="50"/>
  <c r="J268" i="50"/>
  <c r="J272" i="50"/>
  <c r="J266" i="50"/>
  <c r="P259" i="51"/>
  <c r="J41" i="50"/>
  <c r="N518" i="40"/>
  <c r="N259" i="51"/>
  <c r="J186" i="50"/>
  <c r="S348" i="51"/>
  <c r="S336" i="51"/>
  <c r="Q331" i="51"/>
  <c r="Q330" i="51"/>
  <c r="Q336" i="51"/>
  <c r="Q350" i="51"/>
  <c r="Q329" i="51"/>
  <c r="Q333" i="51"/>
  <c r="Q344" i="51"/>
  <c r="Q327" i="51"/>
  <c r="Q340" i="51"/>
  <c r="Q337" i="51"/>
  <c r="Q335" i="51"/>
  <c r="Q348" i="51"/>
  <c r="Q338" i="51"/>
  <c r="Q334" i="51"/>
  <c r="Q352" i="51"/>
  <c r="Q341" i="51"/>
  <c r="Q343" i="51"/>
  <c r="Q339" i="51"/>
  <c r="Q332" i="51"/>
  <c r="Q328" i="51"/>
  <c r="Q351" i="51"/>
  <c r="Q349" i="51"/>
  <c r="Q345" i="51"/>
  <c r="Q342" i="51"/>
  <c r="S41" i="17"/>
  <c r="S38" i="17" s="1"/>
  <c r="AD41" i="17"/>
  <c r="AD38" i="17" s="1"/>
  <c r="J287" i="40"/>
  <c r="J283" i="40" s="1"/>
  <c r="S279" i="51"/>
  <c r="S260" i="51"/>
  <c r="E35" i="49"/>
  <c r="G34" i="49"/>
  <c r="I34" i="49" s="1"/>
  <c r="N367" i="52"/>
  <c r="O60" i="17"/>
  <c r="J279" i="40"/>
  <c r="R102" i="40"/>
  <c r="AA30" i="17" s="1"/>
  <c r="R98" i="40"/>
  <c r="AA28" i="17" s="1"/>
  <c r="R100" i="40"/>
  <c r="AA29" i="17" s="1"/>
  <c r="K231" i="40"/>
  <c r="K235" i="40"/>
  <c r="K233" i="40"/>
  <c r="H21" i="26"/>
  <c r="E21" i="26"/>
  <c r="N361" i="52"/>
  <c r="O54" i="17"/>
  <c r="J38" i="17"/>
  <c r="AF41" i="17"/>
  <c r="AF38" i="17" s="1"/>
  <c r="P366" i="40"/>
  <c r="L284" i="52"/>
  <c r="M284" i="52" s="1"/>
  <c r="P419" i="40"/>
  <c r="AK73" i="17" s="1"/>
  <c r="AK72" i="17" s="1"/>
  <c r="P282" i="51"/>
  <c r="O267" i="51"/>
  <c r="O216" i="51"/>
  <c r="P283" i="51"/>
  <c r="P258" i="51"/>
  <c r="P257" i="51"/>
  <c r="P277" i="51"/>
  <c r="P262" i="51"/>
  <c r="P279" i="51"/>
  <c r="P265" i="51"/>
  <c r="P266" i="51"/>
  <c r="P256" i="51"/>
  <c r="P263" i="51"/>
  <c r="P280" i="51"/>
  <c r="P260" i="51"/>
  <c r="P278" i="51"/>
  <c r="P275" i="51"/>
  <c r="P261" i="51"/>
  <c r="P271" i="51"/>
  <c r="P269" i="51"/>
  <c r="P270" i="51"/>
  <c r="P273" i="51"/>
  <c r="P264" i="51"/>
  <c r="P276" i="51"/>
  <c r="P268" i="51"/>
  <c r="P274" i="51"/>
  <c r="P281" i="51"/>
  <c r="P255" i="51"/>
  <c r="P272" i="51"/>
  <c r="O518" i="40"/>
  <c r="Z78" i="17" s="1"/>
  <c r="S339" i="51"/>
  <c r="S338" i="51"/>
  <c r="K6" i="50"/>
  <c r="K10" i="50"/>
  <c r="K8" i="50"/>
  <c r="S270" i="51"/>
  <c r="S280" i="51"/>
  <c r="N15" i="52"/>
  <c r="O16" i="17"/>
  <c r="O33" i="17"/>
  <c r="Z33" i="17" s="1"/>
  <c r="N106" i="52"/>
  <c r="N122" i="52" s="1"/>
  <c r="P60" i="17"/>
  <c r="K279" i="40"/>
  <c r="P59" i="17" s="1"/>
  <c r="J411" i="52"/>
  <c r="J423" i="52"/>
  <c r="J427" i="52"/>
  <c r="S98" i="40"/>
  <c r="AL28" i="17" s="1"/>
  <c r="AL25" i="17" s="1"/>
  <c r="S100" i="40"/>
  <c r="AL29" i="17" s="1"/>
  <c r="AL26" i="17" s="1"/>
  <c r="S102" i="40"/>
  <c r="AL30" i="17" s="1"/>
  <c r="AL27" i="17" s="1"/>
  <c r="H814" i="52"/>
  <c r="H812" i="52"/>
  <c r="H813" i="52"/>
  <c r="O366" i="40"/>
  <c r="H371" i="52"/>
  <c r="H355" i="52" s="1"/>
  <c r="I63" i="17"/>
  <c r="L289" i="52"/>
  <c r="M289" i="52" s="1"/>
  <c r="I112" i="52"/>
  <c r="I94" i="52"/>
  <c r="I93" i="52"/>
  <c r="I97" i="52"/>
  <c r="I109" i="52"/>
  <c r="I441" i="52" s="1"/>
  <c r="I111" i="52"/>
  <c r="I110" i="52"/>
  <c r="I95" i="52"/>
  <c r="I96" i="52"/>
  <c r="I113" i="52"/>
  <c r="N419" i="40"/>
  <c r="P267" i="51"/>
  <c r="P216" i="51"/>
  <c r="J154" i="50"/>
  <c r="K158" i="45"/>
  <c r="H532" i="52"/>
  <c r="H529" i="52" s="1"/>
  <c r="S337" i="51"/>
  <c r="S333" i="51"/>
  <c r="N8" i="51"/>
  <c r="N10" i="51"/>
  <c r="N6" i="51"/>
  <c r="N14" i="51"/>
  <c r="N12" i="51"/>
  <c r="O34" i="17"/>
  <c r="Z34" i="17" s="1"/>
  <c r="N107" i="52"/>
  <c r="N123" i="52" s="1"/>
  <c r="O305" i="40"/>
  <c r="Z66" i="17" s="1"/>
  <c r="Z65" i="17" s="1"/>
  <c r="N476" i="40"/>
  <c r="O198" i="40"/>
  <c r="Z47" i="17" s="1"/>
  <c r="S271" i="51"/>
  <c r="S258" i="51"/>
  <c r="J236" i="40"/>
  <c r="J230" i="40" s="1"/>
  <c r="M13" i="17"/>
  <c r="N13" i="17"/>
  <c r="N16" i="52"/>
  <c r="O17" i="17"/>
  <c r="N310" i="51"/>
  <c r="S340" i="51"/>
  <c r="S332" i="51"/>
  <c r="P8" i="51"/>
  <c r="P6" i="51"/>
  <c r="P12" i="51"/>
  <c r="P14" i="51"/>
  <c r="P10" i="51"/>
  <c r="P305" i="40"/>
  <c r="AK66" i="17" s="1"/>
  <c r="AK65" i="17" s="1"/>
  <c r="O476" i="40"/>
  <c r="Z77" i="17" s="1"/>
  <c r="G288" i="52"/>
  <c r="N198" i="40"/>
  <c r="O47" i="17" s="1"/>
  <c r="Q216" i="51"/>
  <c r="Q267" i="51"/>
  <c r="K236" i="40"/>
  <c r="K230" i="40" s="1"/>
  <c r="K232" i="40" s="1"/>
  <c r="K234" i="40" s="1"/>
  <c r="N365" i="52"/>
  <c r="O58" i="17"/>
  <c r="U69" i="17"/>
  <c r="U68" i="17" s="1"/>
  <c r="J68" i="17"/>
  <c r="AF69" i="17"/>
  <c r="AF68" i="17" s="1"/>
  <c r="N108" i="52"/>
  <c r="N124" i="52" s="1"/>
  <c r="O35" i="17"/>
  <c r="H45" i="52"/>
  <c r="R508" i="40"/>
  <c r="N362" i="52"/>
  <c r="O55" i="17"/>
  <c r="S75" i="51"/>
  <c r="J7" i="40"/>
  <c r="J12" i="40"/>
  <c r="J9" i="40"/>
  <c r="J11" i="40"/>
  <c r="Q366" i="40"/>
  <c r="P68" i="17" s="1"/>
  <c r="J528" i="40"/>
  <c r="Q395" i="40"/>
  <c r="D53" i="26"/>
  <c r="C54" i="26"/>
  <c r="R419" i="40"/>
  <c r="AA73" i="17" s="1"/>
  <c r="AA72" i="17" s="1"/>
  <c r="N105" i="52"/>
  <c r="O32" i="17"/>
  <c r="Z32" i="17" s="1"/>
  <c r="O272" i="51"/>
  <c r="O270" i="51"/>
  <c r="O255" i="51"/>
  <c r="O266" i="51"/>
  <c r="O278" i="51"/>
  <c r="O263" i="51"/>
  <c r="O281" i="51"/>
  <c r="O280" i="51"/>
  <c r="O269" i="51"/>
  <c r="O258" i="51"/>
  <c r="O271" i="51"/>
  <c r="O264" i="51"/>
  <c r="O279" i="51"/>
  <c r="O268" i="51"/>
  <c r="O274" i="51"/>
  <c r="O261" i="51"/>
  <c r="O262" i="51"/>
  <c r="O275" i="51"/>
  <c r="O260" i="51"/>
  <c r="O283" i="51"/>
  <c r="O256" i="51"/>
  <c r="O273" i="51"/>
  <c r="O257" i="51"/>
  <c r="O265" i="51"/>
  <c r="O277" i="51"/>
  <c r="O276" i="51"/>
  <c r="P200" i="51"/>
  <c r="P199" i="51" s="1"/>
  <c r="P182" i="51" s="1"/>
  <c r="N200" i="51"/>
  <c r="N199" i="51" s="1"/>
  <c r="N182" i="51" s="1"/>
  <c r="S335" i="51"/>
  <c r="S345" i="51"/>
  <c r="O8" i="51"/>
  <c r="O10" i="51"/>
  <c r="O14" i="51"/>
  <c r="O12" i="51"/>
  <c r="O6" i="51"/>
  <c r="I527" i="52"/>
  <c r="I550" i="52"/>
  <c r="I528" i="52"/>
  <c r="I525" i="52"/>
  <c r="I537" i="52"/>
  <c r="P476" i="40"/>
  <c r="AK77" i="17" s="1"/>
  <c r="P198" i="40"/>
  <c r="AK47" i="17" s="1"/>
  <c r="I66" i="17"/>
  <c r="H436" i="52"/>
  <c r="H435" i="52" s="1"/>
  <c r="N369" i="52"/>
  <c r="O62" i="17"/>
  <c r="S283" i="51"/>
  <c r="S255" i="51"/>
  <c r="R267" i="51"/>
  <c r="R216" i="51"/>
  <c r="Q346" i="51"/>
  <c r="Q290" i="51"/>
  <c r="H44" i="52"/>
  <c r="K184" i="50"/>
  <c r="K180" i="50"/>
  <c r="K182" i="50"/>
  <c r="K539" i="40"/>
  <c r="P79" i="17"/>
  <c r="K540" i="40"/>
  <c r="J373" i="52"/>
  <c r="AD77" i="17"/>
  <c r="S77" i="17"/>
  <c r="E52" i="26"/>
  <c r="H52" i="26"/>
  <c r="O91" i="53"/>
  <c r="O46" i="48"/>
  <c r="N17" i="52"/>
  <c r="O18" i="17"/>
  <c r="P518" i="40"/>
  <c r="AK78" i="17" s="1"/>
  <c r="S329" i="51"/>
  <c r="S342" i="51"/>
  <c r="N363" i="52"/>
  <c r="O56" i="17"/>
  <c r="R14" i="51"/>
  <c r="R12" i="51"/>
  <c r="R10" i="51"/>
  <c r="R6" i="51"/>
  <c r="R8" i="51"/>
  <c r="U73" i="17"/>
  <c r="U72" i="17" s="1"/>
  <c r="AF73" i="17"/>
  <c r="AF72" i="17" s="1"/>
  <c r="J72" i="17"/>
  <c r="S476" i="40"/>
  <c r="AL77" i="17" s="1"/>
  <c r="AL76" i="17" s="1"/>
  <c r="S267" i="51"/>
  <c r="S216" i="51"/>
  <c r="H63" i="17"/>
  <c r="G371" i="52"/>
  <c r="Q347" i="51"/>
  <c r="P36" i="17"/>
  <c r="AA35" i="17"/>
  <c r="AA36" i="17" s="1"/>
  <c r="D45" i="49"/>
  <c r="G44" i="49"/>
  <c r="I44" i="49" s="1"/>
  <c r="H47" i="52"/>
  <c r="O69" i="17"/>
  <c r="N470" i="52"/>
  <c r="O419" i="40"/>
  <c r="Z73" i="17" s="1"/>
  <c r="Z72" i="17" s="1"/>
  <c r="Q419" i="40"/>
  <c r="P73" i="17" s="1"/>
  <c r="P72" i="17" s="1"/>
  <c r="Z42" i="17"/>
  <c r="Z43" i="17"/>
  <c r="O174" i="40"/>
  <c r="Z41" i="17" s="1"/>
  <c r="O311" i="51"/>
  <c r="O310" i="51" s="1"/>
  <c r="O290" i="51" s="1"/>
  <c r="O182" i="51"/>
  <c r="AK43" i="17"/>
  <c r="AK40" i="17" s="1"/>
  <c r="P174" i="40"/>
  <c r="AK41" i="17" s="1"/>
  <c r="AK38" i="17" s="1"/>
  <c r="AK42" i="17"/>
  <c r="AK39" i="17" s="1"/>
  <c r="S334" i="51"/>
  <c r="S327" i="51"/>
  <c r="Q338" i="40"/>
  <c r="Q305" i="40" s="1"/>
  <c r="P66" i="17" s="1"/>
  <c r="P65" i="17" s="1"/>
  <c r="Q12" i="51"/>
  <c r="Q14" i="51"/>
  <c r="Q6" i="51"/>
  <c r="Q8" i="51"/>
  <c r="Q10" i="51"/>
  <c r="N305" i="40"/>
  <c r="N440" i="52"/>
  <c r="R476" i="40"/>
  <c r="AA77" i="17" s="1"/>
  <c r="AA76" i="17" s="1"/>
  <c r="D41" i="26"/>
  <c r="C42" i="26"/>
  <c r="N18" i="52"/>
  <c r="O19" i="17"/>
  <c r="H46" i="52"/>
  <c r="N216" i="51"/>
  <c r="N267" i="51"/>
  <c r="N28" i="52"/>
  <c r="I530" i="52"/>
  <c r="I529" i="52" s="1"/>
  <c r="I146" i="22"/>
  <c r="I140" i="22"/>
  <c r="K83" i="17"/>
  <c r="J99" i="53"/>
  <c r="J53" i="48"/>
  <c r="K82" i="17"/>
  <c r="K84" i="17"/>
  <c r="J78" i="40"/>
  <c r="O15" i="17"/>
  <c r="N14" i="52"/>
  <c r="N364" i="52"/>
  <c r="O57" i="17"/>
  <c r="L531" i="52"/>
  <c r="M531" i="52" s="1"/>
  <c r="J65" i="17"/>
  <c r="AF66" i="17"/>
  <c r="AF65" i="17" s="1"/>
  <c r="U66" i="17"/>
  <c r="U65" i="17" s="1"/>
  <c r="O74" i="17"/>
  <c r="N496" i="52"/>
  <c r="N531" i="52" s="1"/>
  <c r="N327" i="51"/>
  <c r="N346" i="51"/>
  <c r="N339" i="51"/>
  <c r="N338" i="51"/>
  <c r="N337" i="51"/>
  <c r="N336" i="51"/>
  <c r="N332" i="51"/>
  <c r="N329" i="51"/>
  <c r="N348" i="51"/>
  <c r="N344" i="51"/>
  <c r="N347" i="51"/>
  <c r="N328" i="51"/>
  <c r="N342" i="51"/>
  <c r="N340" i="51"/>
  <c r="N334" i="51"/>
  <c r="N335" i="51"/>
  <c r="N351" i="51"/>
  <c r="N349" i="51"/>
  <c r="N333" i="51"/>
  <c r="N343" i="51"/>
  <c r="N350" i="51"/>
  <c r="N341" i="51"/>
  <c r="N345" i="51"/>
  <c r="O130" i="51"/>
  <c r="O129" i="51" s="1"/>
  <c r="S350" i="51"/>
  <c r="S351" i="51"/>
  <c r="N331" i="51"/>
  <c r="N330" i="51"/>
  <c r="R147" i="51"/>
  <c r="R338" i="40"/>
  <c r="R305" i="40" s="1"/>
  <c r="AA66" i="17" s="1"/>
  <c r="AA65" i="17" s="1"/>
  <c r="S8" i="51"/>
  <c r="S14" i="51"/>
  <c r="S6" i="51"/>
  <c r="S10" i="51"/>
  <c r="S12" i="51"/>
  <c r="Q476" i="40"/>
  <c r="P77" i="17" s="1"/>
  <c r="P76" i="17" s="1"/>
  <c r="E40" i="26"/>
  <c r="H40" i="26"/>
  <c r="S278" i="51"/>
  <c r="S257" i="51"/>
  <c r="O13" i="17"/>
  <c r="N12" i="52"/>
  <c r="N98" i="40"/>
  <c r="N100" i="40"/>
  <c r="N102" i="40"/>
  <c r="J91" i="50"/>
  <c r="J97" i="50"/>
  <c r="J95" i="50"/>
  <c r="J93" i="50"/>
  <c r="L496" i="52"/>
  <c r="M496" i="52" s="1"/>
  <c r="K78" i="40"/>
  <c r="P22" i="17"/>
  <c r="I442" i="52"/>
  <c r="I443" i="52"/>
  <c r="O147" i="51"/>
  <c r="N97" i="51"/>
  <c r="N94" i="51"/>
  <c r="N96" i="51"/>
  <c r="N95" i="51"/>
  <c r="N98" i="51"/>
  <c r="N290" i="51"/>
  <c r="N174" i="40"/>
  <c r="S346" i="51"/>
  <c r="S343" i="51"/>
  <c r="I77" i="17"/>
  <c r="J180" i="45"/>
  <c r="J179" i="45"/>
  <c r="H709" i="52"/>
  <c r="H708" i="52" s="1"/>
  <c r="O330" i="51"/>
  <c r="O331" i="51"/>
  <c r="Q147" i="51"/>
  <c r="S339" i="40"/>
  <c r="S338" i="40" s="1"/>
  <c r="S305" i="40" s="1"/>
  <c r="AL66" i="17" s="1"/>
  <c r="AL65" i="17" s="1"/>
  <c r="R282" i="51"/>
  <c r="R275" i="51"/>
  <c r="R280" i="51"/>
  <c r="R257" i="51"/>
  <c r="R260" i="51"/>
  <c r="R261" i="51"/>
  <c r="R258" i="51"/>
  <c r="R255" i="51"/>
  <c r="R281" i="51"/>
  <c r="R256" i="51"/>
  <c r="R273" i="51"/>
  <c r="O14" i="17"/>
  <c r="N13" i="52"/>
  <c r="N11" i="52" s="1"/>
  <c r="J422" i="52"/>
  <c r="J72" i="52"/>
  <c r="J80" i="52"/>
  <c r="J88" i="52"/>
  <c r="J68" i="52"/>
  <c r="J84" i="52"/>
  <c r="J76" i="52"/>
  <c r="N368" i="52"/>
  <c r="O61" i="17"/>
  <c r="S269" i="51"/>
  <c r="S274" i="51"/>
  <c r="S256" i="51"/>
  <c r="S453" i="40"/>
  <c r="H29" i="52"/>
  <c r="O98" i="40"/>
  <c r="Z28" i="17" s="1"/>
  <c r="O102" i="40"/>
  <c r="Z30" i="17" s="1"/>
  <c r="O100" i="40"/>
  <c r="Z29" i="17" s="1"/>
  <c r="L263" i="52"/>
  <c r="M263" i="52" s="1"/>
  <c r="K6" i="40"/>
  <c r="P10" i="17" s="1"/>
  <c r="K8" i="40"/>
  <c r="P11" i="17" s="1"/>
  <c r="K10" i="40"/>
  <c r="P12" i="17" s="1"/>
  <c r="R366" i="40"/>
  <c r="J813" i="52"/>
  <c r="J814" i="52"/>
  <c r="J812" i="52"/>
  <c r="H495" i="52"/>
  <c r="J158" i="45"/>
  <c r="H497" i="52"/>
  <c r="I158" i="45"/>
  <c r="O282" i="51"/>
  <c r="J355" i="50"/>
  <c r="P95" i="51"/>
  <c r="P94" i="51"/>
  <c r="P97" i="51"/>
  <c r="P98" i="51"/>
  <c r="P96" i="51"/>
  <c r="P60" i="51"/>
  <c r="N352" i="51"/>
  <c r="O96" i="51"/>
  <c r="O98" i="51"/>
  <c r="O97" i="51"/>
  <c r="O95" i="51"/>
  <c r="O94" i="51"/>
  <c r="P130" i="51"/>
  <c r="P129" i="51" s="1"/>
  <c r="S290" i="51"/>
  <c r="S349" i="51"/>
  <c r="P331" i="51"/>
  <c r="P330" i="51"/>
  <c r="K91" i="50"/>
  <c r="K93" i="50"/>
  <c r="K95" i="50"/>
  <c r="K97" i="50"/>
  <c r="S268" i="51"/>
  <c r="S264" i="51"/>
  <c r="S282" i="51"/>
  <c r="R453" i="40"/>
  <c r="I70" i="17"/>
  <c r="H472" i="52"/>
  <c r="H469" i="52" s="1"/>
  <c r="H474" i="52" s="1"/>
  <c r="Q182" i="51"/>
  <c r="P100" i="40"/>
  <c r="AK29" i="17" s="1"/>
  <c r="AK26" i="17" s="1"/>
  <c r="P98" i="40"/>
  <c r="AK28" i="17" s="1"/>
  <c r="AK25" i="17" s="1"/>
  <c r="P102" i="40"/>
  <c r="AK30" i="17" s="1"/>
  <c r="AK27" i="17" s="1"/>
  <c r="J69" i="52"/>
  <c r="J65" i="52"/>
  <c r="J85" i="52"/>
  <c r="J73" i="52"/>
  <c r="J81" i="52"/>
  <c r="J77" i="52"/>
  <c r="J419" i="52"/>
  <c r="J414" i="52"/>
  <c r="J426" i="52"/>
  <c r="J430" i="52"/>
  <c r="J424" i="52"/>
  <c r="J412" i="52"/>
  <c r="J428" i="52"/>
  <c r="N472" i="52"/>
  <c r="N471" i="52"/>
  <c r="O70" i="17"/>
  <c r="J231" i="40"/>
  <c r="J235" i="40"/>
  <c r="J233" i="40"/>
  <c r="P43" i="51"/>
  <c r="P42" i="51" s="1"/>
  <c r="N147" i="51"/>
  <c r="J10" i="50"/>
  <c r="J6" i="50"/>
  <c r="J8" i="50"/>
  <c r="N271" i="51"/>
  <c r="N276" i="51"/>
  <c r="N279" i="51"/>
  <c r="N283" i="51"/>
  <c r="N270" i="51"/>
  <c r="N269" i="51"/>
  <c r="N280" i="51"/>
  <c r="N277" i="51"/>
  <c r="N264" i="51"/>
  <c r="N281" i="51"/>
  <c r="N257" i="51"/>
  <c r="N275" i="51"/>
  <c r="N255" i="51"/>
  <c r="N278" i="51"/>
  <c r="N256" i="51"/>
  <c r="N263" i="51"/>
  <c r="N258" i="51"/>
  <c r="N265" i="51"/>
  <c r="N273" i="51"/>
  <c r="N274" i="51"/>
  <c r="N262" i="51"/>
  <c r="N272" i="51"/>
  <c r="N260" i="51"/>
  <c r="N261" i="51"/>
  <c r="N266" i="51"/>
  <c r="N268" i="51"/>
  <c r="N60" i="51"/>
  <c r="J74" i="50"/>
  <c r="J73" i="50" s="1"/>
  <c r="J250" i="50"/>
  <c r="J249" i="50" s="1"/>
  <c r="O347" i="51"/>
  <c r="P310" i="51"/>
  <c r="P351" i="51" s="1"/>
  <c r="S328" i="51"/>
  <c r="S347" i="51"/>
  <c r="R330" i="51"/>
  <c r="R331" i="51"/>
  <c r="R352" i="51"/>
  <c r="R344" i="51"/>
  <c r="R348" i="51"/>
  <c r="R328" i="51"/>
  <c r="R339" i="51"/>
  <c r="R333" i="51"/>
  <c r="R334" i="51"/>
  <c r="R336" i="51"/>
  <c r="R329" i="51"/>
  <c r="R338" i="51"/>
  <c r="R340" i="51"/>
  <c r="R332" i="51"/>
  <c r="R349" i="51"/>
  <c r="R350" i="51"/>
  <c r="R343" i="51"/>
  <c r="R351" i="51"/>
  <c r="R342" i="51"/>
  <c r="R337" i="51"/>
  <c r="R327" i="51"/>
  <c r="R341" i="51"/>
  <c r="R335" i="51"/>
  <c r="R345" i="51"/>
  <c r="J413" i="52"/>
  <c r="J425" i="52"/>
  <c r="J429" i="52"/>
  <c r="Q256" i="51"/>
  <c r="Q255" i="51"/>
  <c r="Q268" i="51"/>
  <c r="Q282" i="51"/>
  <c r="Q283" i="51"/>
  <c r="Q265" i="51"/>
  <c r="Q278" i="51"/>
  <c r="Q264" i="51"/>
  <c r="Q261" i="51"/>
  <c r="Q279" i="51"/>
  <c r="Q257" i="51"/>
  <c r="Q274" i="51"/>
  <c r="Q270" i="51"/>
  <c r="Q269" i="51"/>
  <c r="Q273" i="51"/>
  <c r="Q276" i="51"/>
  <c r="Q258" i="51"/>
  <c r="Q275" i="51"/>
  <c r="Q260" i="51"/>
  <c r="Q263" i="51"/>
  <c r="Q277" i="51"/>
  <c r="Q266" i="51"/>
  <c r="Q271" i="51"/>
  <c r="Q272" i="51"/>
  <c r="Q281" i="51"/>
  <c r="Q262" i="51"/>
  <c r="Q280" i="51"/>
  <c r="S43" i="17"/>
  <c r="S40" i="17" s="1"/>
  <c r="AD43" i="17"/>
  <c r="AD40" i="17" s="1"/>
  <c r="S272" i="51"/>
  <c r="S276" i="51"/>
  <c r="C23" i="26"/>
  <c r="D22" i="26"/>
  <c r="Q453" i="40"/>
  <c r="Q98" i="40"/>
  <c r="P28" i="17" s="1"/>
  <c r="P25" i="17" s="1"/>
  <c r="Q100" i="40"/>
  <c r="P29" i="17" s="1"/>
  <c r="P26" i="17" s="1"/>
  <c r="Q102" i="40"/>
  <c r="P30" i="17" s="1"/>
  <c r="P27" i="17" s="1"/>
  <c r="J26" i="17" l="1"/>
  <c r="O22" i="17"/>
  <c r="N27" i="52"/>
  <c r="I546" i="52"/>
  <c r="G56" i="52"/>
  <c r="Z38" i="17"/>
  <c r="I40" i="26"/>
  <c r="Z40" i="17"/>
  <c r="Z39" i="17"/>
  <c r="N55" i="53" s="1"/>
  <c r="L25" i="21"/>
  <c r="J25" i="21"/>
  <c r="J36" i="21"/>
  <c r="J33" i="21"/>
  <c r="T78" i="17"/>
  <c r="S42" i="17"/>
  <c r="S39" i="17" s="1"/>
  <c r="J43" i="17"/>
  <c r="AF43" i="17" s="1"/>
  <c r="AF40" i="17" s="1"/>
  <c r="J66" i="53"/>
  <c r="I266" i="52"/>
  <c r="I261" i="52" s="1"/>
  <c r="I282" i="52" s="1"/>
  <c r="J65" i="53"/>
  <c r="I267" i="52"/>
  <c r="I262" i="52" s="1"/>
  <c r="I278" i="52" s="1"/>
  <c r="I264" i="52"/>
  <c r="I259" i="52" s="1"/>
  <c r="I275" i="52" s="1"/>
  <c r="J42" i="17"/>
  <c r="AF42" i="17" s="1"/>
  <c r="AF39" i="17" s="1"/>
  <c r="I24" i="48" s="1"/>
  <c r="H40" i="17"/>
  <c r="J723" i="52"/>
  <c r="J725" i="52"/>
  <c r="H51" i="17"/>
  <c r="H48" i="17" s="1"/>
  <c r="I15" i="48"/>
  <c r="I265" i="52"/>
  <c r="I260" i="52" s="1"/>
  <c r="I286" i="52" s="1"/>
  <c r="J738" i="52"/>
  <c r="I268" i="52"/>
  <c r="I263" i="52" s="1"/>
  <c r="I289" i="52" s="1"/>
  <c r="J731" i="52"/>
  <c r="I356" i="52"/>
  <c r="I387" i="52" s="1"/>
  <c r="H38" i="17"/>
  <c r="G19" i="48" s="1"/>
  <c r="J7" i="17"/>
  <c r="I7" i="48" s="1"/>
  <c r="I354" i="52"/>
  <c r="J717" i="52"/>
  <c r="J727" i="52"/>
  <c r="G443" i="52"/>
  <c r="J718" i="52"/>
  <c r="G529" i="52"/>
  <c r="I27" i="52"/>
  <c r="J9" i="17"/>
  <c r="I9" i="48" s="1"/>
  <c r="G9" i="52"/>
  <c r="G6" i="52" s="1"/>
  <c r="J719" i="52"/>
  <c r="H11" i="17"/>
  <c r="H8" i="17" s="1"/>
  <c r="J35" i="21"/>
  <c r="G285" i="52"/>
  <c r="H65" i="17"/>
  <c r="G30" i="48" s="1"/>
  <c r="J32" i="21"/>
  <c r="J735" i="52"/>
  <c r="J24" i="21"/>
  <c r="J386" i="52"/>
  <c r="J383" i="52"/>
  <c r="J385" i="52"/>
  <c r="J67" i="53"/>
  <c r="G358" i="52"/>
  <c r="J734" i="52"/>
  <c r="H53" i="17"/>
  <c r="L29" i="21"/>
  <c r="J356" i="52"/>
  <c r="J732" i="52"/>
  <c r="S66" i="17"/>
  <c r="S65" i="17" s="1"/>
  <c r="G32" i="48" s="1"/>
  <c r="G10" i="52"/>
  <c r="G7" i="52" s="1"/>
  <c r="J740" i="52"/>
  <c r="J729" i="52"/>
  <c r="J726" i="52"/>
  <c r="J724" i="52"/>
  <c r="H27" i="52"/>
  <c r="J722" i="52"/>
  <c r="J720" i="52"/>
  <c r="J721" i="52"/>
  <c r="J715" i="52"/>
  <c r="J29" i="21"/>
  <c r="J739" i="52"/>
  <c r="J730" i="52"/>
  <c r="AG68" i="17"/>
  <c r="J83" i="53" s="1"/>
  <c r="I7" i="52"/>
  <c r="I381" i="52" s="1"/>
  <c r="I29" i="52"/>
  <c r="I5" i="52"/>
  <c r="I24" i="52" s="1"/>
  <c r="J728" i="52"/>
  <c r="J736" i="52"/>
  <c r="G391" i="52"/>
  <c r="G412" i="52" s="1"/>
  <c r="J737" i="52"/>
  <c r="J716" i="52"/>
  <c r="I6" i="52"/>
  <c r="I34" i="52" s="1"/>
  <c r="V68" i="17"/>
  <c r="J81" i="53" s="1"/>
  <c r="J266" i="52"/>
  <c r="J261" i="52" s="1"/>
  <c r="J287" i="52" s="1"/>
  <c r="J264" i="52"/>
  <c r="J259" i="52" s="1"/>
  <c r="J285" i="52" s="1"/>
  <c r="J268" i="52"/>
  <c r="J263" i="52" s="1"/>
  <c r="J284" i="52" s="1"/>
  <c r="K41" i="17"/>
  <c r="J265" i="52"/>
  <c r="J260" i="52" s="1"/>
  <c r="K43" i="17"/>
  <c r="J267" i="52"/>
  <c r="J262" i="52" s="1"/>
  <c r="J278" i="52" s="1"/>
  <c r="K42" i="17"/>
  <c r="J27" i="52"/>
  <c r="J29" i="52"/>
  <c r="J5" i="52"/>
  <c r="J6" i="52"/>
  <c r="J28" i="52"/>
  <c r="J7" i="52"/>
  <c r="J7" i="48"/>
  <c r="J7" i="53"/>
  <c r="J8" i="48"/>
  <c r="J8" i="53"/>
  <c r="J9" i="53"/>
  <c r="J9" i="48"/>
  <c r="J442" i="52"/>
  <c r="J443" i="52"/>
  <c r="J374" i="52"/>
  <c r="K65" i="17"/>
  <c r="V66" i="17"/>
  <c r="V65" i="17" s="1"/>
  <c r="AG66" i="17"/>
  <c r="AG65" i="17" s="1"/>
  <c r="H28" i="52"/>
  <c r="G813" i="52"/>
  <c r="AG28" i="17"/>
  <c r="AG25" i="17" s="1"/>
  <c r="V28" i="17"/>
  <c r="V25" i="17" s="1"/>
  <c r="V29" i="17"/>
  <c r="V26" i="17" s="1"/>
  <c r="AG29" i="17"/>
  <c r="AG26" i="17" s="1"/>
  <c r="K26" i="17"/>
  <c r="V73" i="17"/>
  <c r="V72" i="17" s="1"/>
  <c r="K72" i="17"/>
  <c r="AG73" i="17"/>
  <c r="AG72" i="17" s="1"/>
  <c r="AG30" i="17"/>
  <c r="AG27" i="17" s="1"/>
  <c r="K27" i="17"/>
  <c r="H7" i="48"/>
  <c r="T69" i="17"/>
  <c r="H9" i="48"/>
  <c r="H8" i="53"/>
  <c r="I82" i="17"/>
  <c r="H53" i="48"/>
  <c r="H99" i="53"/>
  <c r="I38" i="17"/>
  <c r="H48" i="53" s="1"/>
  <c r="I84" i="17"/>
  <c r="J28" i="53"/>
  <c r="I53" i="48"/>
  <c r="J83" i="17"/>
  <c r="J84" i="17"/>
  <c r="I287" i="52"/>
  <c r="I277" i="52"/>
  <c r="U42" i="17"/>
  <c r="U39" i="17" s="1"/>
  <c r="I55" i="53" s="1"/>
  <c r="L28" i="21"/>
  <c r="G708" i="52"/>
  <c r="G726" i="52" s="1"/>
  <c r="G494" i="52"/>
  <c r="G500" i="52" s="1"/>
  <c r="L32" i="21"/>
  <c r="S78" i="17"/>
  <c r="S76" i="17" s="1"/>
  <c r="G96" i="53" s="1"/>
  <c r="G47" i="52"/>
  <c r="G68" i="52" s="1"/>
  <c r="H39" i="17"/>
  <c r="G49" i="53" s="1"/>
  <c r="AD78" i="17"/>
  <c r="AD76" i="17" s="1"/>
  <c r="J78" i="52"/>
  <c r="G392" i="52"/>
  <c r="G425" i="52" s="1"/>
  <c r="J66" i="52"/>
  <c r="J74" i="52"/>
  <c r="J86" i="52"/>
  <c r="G390" i="52"/>
  <c r="G427" i="52" s="1"/>
  <c r="G276" i="52"/>
  <c r="I812" i="52"/>
  <c r="I814" i="52"/>
  <c r="J82" i="17"/>
  <c r="I26" i="53"/>
  <c r="I740" i="52"/>
  <c r="I17" i="53"/>
  <c r="I726" i="52"/>
  <c r="I27" i="53"/>
  <c r="L36" i="21"/>
  <c r="L35" i="21"/>
  <c r="J70" i="52"/>
  <c r="G814" i="52"/>
  <c r="J420" i="52"/>
  <c r="J79" i="53"/>
  <c r="J40" i="26"/>
  <c r="U6" i="39" s="1"/>
  <c r="AL68" i="17"/>
  <c r="O83" i="53" s="1"/>
  <c r="AL69" i="17"/>
  <c r="J12" i="26"/>
  <c r="V5" i="39" s="1"/>
  <c r="O344" i="51"/>
  <c r="O350" i="51"/>
  <c r="AK76" i="17"/>
  <c r="N98" i="53" s="1"/>
  <c r="Z76" i="17"/>
  <c r="N96" i="53" s="1"/>
  <c r="J15" i="53"/>
  <c r="L427" i="52"/>
  <c r="M427" i="52" s="1"/>
  <c r="O334" i="51"/>
  <c r="O335" i="51"/>
  <c r="O352" i="51"/>
  <c r="O337" i="51"/>
  <c r="O345" i="51"/>
  <c r="P335" i="51"/>
  <c r="T6" i="39"/>
  <c r="J39" i="26"/>
  <c r="O328" i="51"/>
  <c r="P327" i="51"/>
  <c r="O338" i="51"/>
  <c r="O349" i="51"/>
  <c r="G46" i="52"/>
  <c r="G67" i="52" s="1"/>
  <c r="L393" i="52"/>
  <c r="M393" i="52" s="1"/>
  <c r="I8" i="48"/>
  <c r="I8" i="53"/>
  <c r="O340" i="51"/>
  <c r="O332" i="51"/>
  <c r="L414" i="52"/>
  <c r="M414" i="52" s="1"/>
  <c r="O346" i="51"/>
  <c r="O329" i="51"/>
  <c r="O343" i="51"/>
  <c r="O336" i="51"/>
  <c r="O341" i="51"/>
  <c r="I21" i="26"/>
  <c r="E13" i="26"/>
  <c r="H13" i="26"/>
  <c r="O333" i="51"/>
  <c r="O339" i="51"/>
  <c r="I52" i="26"/>
  <c r="I7" i="53"/>
  <c r="D14" i="26"/>
  <c r="C15" i="26"/>
  <c r="O327" i="51"/>
  <c r="O348" i="51"/>
  <c r="AG76" i="17"/>
  <c r="J98" i="53" s="1"/>
  <c r="L412" i="52"/>
  <c r="M412" i="52" s="1"/>
  <c r="O342" i="51"/>
  <c r="O351" i="51"/>
  <c r="L390" i="52"/>
  <c r="M390" i="52" s="1"/>
  <c r="G277" i="52"/>
  <c r="G17" i="53"/>
  <c r="G13" i="48"/>
  <c r="V76" i="17"/>
  <c r="G28" i="53"/>
  <c r="J48" i="48"/>
  <c r="J94" i="53"/>
  <c r="G45" i="52"/>
  <c r="G469" i="52"/>
  <c r="G474" i="52" s="1"/>
  <c r="G393" i="52"/>
  <c r="G34" i="48"/>
  <c r="G77" i="53"/>
  <c r="S69" i="17"/>
  <c r="H68" i="17"/>
  <c r="AD69" i="17"/>
  <c r="J283" i="52"/>
  <c r="G44" i="52"/>
  <c r="G16" i="53"/>
  <c r="G12" i="48"/>
  <c r="AD70" i="17"/>
  <c r="S70" i="17"/>
  <c r="G16" i="48"/>
  <c r="G38" i="53"/>
  <c r="G91" i="53"/>
  <c r="G46" i="48"/>
  <c r="G27" i="53"/>
  <c r="G15" i="53"/>
  <c r="G11" i="48"/>
  <c r="G85" i="53"/>
  <c r="G42" i="48"/>
  <c r="G26" i="53"/>
  <c r="G44" i="48"/>
  <c r="G88" i="53"/>
  <c r="G15" i="48"/>
  <c r="G37" i="53"/>
  <c r="G39" i="53"/>
  <c r="G17" i="48"/>
  <c r="T43" i="17"/>
  <c r="T40" i="17" s="1"/>
  <c r="H56" i="53" s="1"/>
  <c r="H413" i="52"/>
  <c r="H429" i="52"/>
  <c r="T41" i="17"/>
  <c r="T38" i="17" s="1"/>
  <c r="H54" i="53" s="1"/>
  <c r="H414" i="52"/>
  <c r="H430" i="52"/>
  <c r="I40" i="17"/>
  <c r="H50" i="53" s="1"/>
  <c r="I49" i="17"/>
  <c r="H66" i="53" s="1"/>
  <c r="I50" i="17"/>
  <c r="H67" i="53" s="1"/>
  <c r="H283" i="52"/>
  <c r="H288" i="52"/>
  <c r="H278" i="52"/>
  <c r="AE41" i="17"/>
  <c r="AE38" i="17" s="1"/>
  <c r="H60" i="53" s="1"/>
  <c r="I48" i="17"/>
  <c r="H26" i="48" s="1"/>
  <c r="U77" i="17"/>
  <c r="U76" i="17" s="1"/>
  <c r="I50" i="48" s="1"/>
  <c r="I279" i="52"/>
  <c r="I284" i="52"/>
  <c r="I65" i="53"/>
  <c r="I563" i="52"/>
  <c r="I549" i="52"/>
  <c r="I508" i="52"/>
  <c r="I724" i="52"/>
  <c r="H285" i="52"/>
  <c r="I739" i="52"/>
  <c r="I720" i="52"/>
  <c r="I719" i="52"/>
  <c r="I734" i="52"/>
  <c r="I717" i="52"/>
  <c r="I718" i="52"/>
  <c r="I727" i="52"/>
  <c r="I732" i="52"/>
  <c r="I722" i="52"/>
  <c r="I733" i="52"/>
  <c r="I736" i="52"/>
  <c r="I728" i="52"/>
  <c r="I738" i="52"/>
  <c r="I723" i="52"/>
  <c r="I737" i="52"/>
  <c r="I519" i="52"/>
  <c r="I514" i="52"/>
  <c r="I731" i="52"/>
  <c r="I729" i="52"/>
  <c r="AF77" i="17"/>
  <c r="AF76" i="17" s="1"/>
  <c r="I98" i="53" s="1"/>
  <c r="I555" i="52"/>
  <c r="I560" i="52"/>
  <c r="I506" i="52"/>
  <c r="I562" i="52"/>
  <c r="I715" i="52"/>
  <c r="I721" i="52"/>
  <c r="I561" i="52"/>
  <c r="I503" i="52"/>
  <c r="I513" i="52"/>
  <c r="I725" i="52"/>
  <c r="I716" i="52"/>
  <c r="I540" i="52"/>
  <c r="I552" i="52"/>
  <c r="I538" i="52"/>
  <c r="I547" i="52"/>
  <c r="I512" i="52"/>
  <c r="I520" i="52"/>
  <c r="I735" i="52"/>
  <c r="I505" i="52"/>
  <c r="I504" i="52"/>
  <c r="I516" i="52"/>
  <c r="I510" i="52"/>
  <c r="I536" i="52"/>
  <c r="I543" i="52"/>
  <c r="I542" i="52"/>
  <c r="I502" i="52"/>
  <c r="I558" i="52"/>
  <c r="I500" i="52"/>
  <c r="I557" i="52"/>
  <c r="I539" i="52"/>
  <c r="I522" i="52"/>
  <c r="I544" i="52"/>
  <c r="I523" i="52"/>
  <c r="I545" i="52"/>
  <c r="I501" i="52"/>
  <c r="I524" i="52"/>
  <c r="I521" i="52"/>
  <c r="I541" i="52"/>
  <c r="I551" i="52"/>
  <c r="I515" i="52"/>
  <c r="I526" i="52"/>
  <c r="I559" i="52"/>
  <c r="I556" i="52"/>
  <c r="I517" i="52"/>
  <c r="I511" i="52"/>
  <c r="I553" i="52"/>
  <c r="I509" i="52"/>
  <c r="I518" i="52"/>
  <c r="I535" i="52"/>
  <c r="I554" i="52"/>
  <c r="I507" i="52"/>
  <c r="I384" i="52"/>
  <c r="H354" i="52"/>
  <c r="H385" i="52" s="1"/>
  <c r="H427" i="52"/>
  <c r="H275" i="52"/>
  <c r="H428" i="52"/>
  <c r="H356" i="52"/>
  <c r="H387" i="52" s="1"/>
  <c r="H34" i="52"/>
  <c r="H286" i="52"/>
  <c r="H281" i="52"/>
  <c r="H276" i="52"/>
  <c r="H424" i="52"/>
  <c r="H411" i="52"/>
  <c r="H277" i="52"/>
  <c r="H287" i="52"/>
  <c r="H282" i="52"/>
  <c r="H284" i="52"/>
  <c r="H289" i="52"/>
  <c r="H279" i="52"/>
  <c r="H25" i="48"/>
  <c r="H62" i="53"/>
  <c r="H55" i="53"/>
  <c r="H49" i="53"/>
  <c r="H20" i="48"/>
  <c r="H380" i="52"/>
  <c r="H24" i="48"/>
  <c r="H61" i="53"/>
  <c r="H25" i="52"/>
  <c r="I427" i="52"/>
  <c r="I411" i="52"/>
  <c r="I423" i="52"/>
  <c r="I412" i="52"/>
  <c r="I428" i="52"/>
  <c r="I424" i="52"/>
  <c r="I429" i="52"/>
  <c r="I425" i="52"/>
  <c r="I413" i="52"/>
  <c r="I430" i="52"/>
  <c r="I426" i="52"/>
  <c r="I414" i="52"/>
  <c r="O75" i="53"/>
  <c r="O32" i="48"/>
  <c r="O30" i="48"/>
  <c r="O73" i="53"/>
  <c r="O77" i="53"/>
  <c r="O34" i="48"/>
  <c r="G50" i="53"/>
  <c r="G21" i="48"/>
  <c r="J366" i="50"/>
  <c r="J365" i="50"/>
  <c r="J367" i="50"/>
  <c r="H733" i="52"/>
  <c r="H716" i="52"/>
  <c r="H724" i="52"/>
  <c r="H717" i="52"/>
  <c r="H719" i="52"/>
  <c r="H722" i="52"/>
  <c r="H727" i="52"/>
  <c r="H725" i="52"/>
  <c r="H737" i="52"/>
  <c r="H726" i="52"/>
  <c r="H735" i="52"/>
  <c r="H723" i="52"/>
  <c r="H728" i="52"/>
  <c r="H734" i="52"/>
  <c r="H739" i="52"/>
  <c r="H731" i="52"/>
  <c r="H715" i="52"/>
  <c r="H730" i="52"/>
  <c r="H732" i="52"/>
  <c r="H736" i="52"/>
  <c r="H738" i="52"/>
  <c r="H718" i="52"/>
  <c r="H740" i="52"/>
  <c r="H729" i="52"/>
  <c r="H720" i="52"/>
  <c r="H721" i="52"/>
  <c r="I386" i="52"/>
  <c r="I383" i="52"/>
  <c r="I374" i="52"/>
  <c r="O96" i="53"/>
  <c r="O50" i="48"/>
  <c r="N23" i="48"/>
  <c r="N60" i="53"/>
  <c r="N88" i="53"/>
  <c r="N44" i="48"/>
  <c r="H38" i="52"/>
  <c r="H35" i="52"/>
  <c r="H26" i="52"/>
  <c r="H381" i="52"/>
  <c r="O39" i="53"/>
  <c r="O17" i="48"/>
  <c r="I19" i="48"/>
  <c r="I48" i="53"/>
  <c r="AA27" i="17"/>
  <c r="P333" i="51"/>
  <c r="P342" i="51"/>
  <c r="N15" i="48"/>
  <c r="N37" i="53"/>
  <c r="N16" i="48"/>
  <c r="N38" i="53"/>
  <c r="AA69" i="17"/>
  <c r="AA68" i="17"/>
  <c r="N100" i="52"/>
  <c r="O30" i="17"/>
  <c r="O27" i="17" s="1"/>
  <c r="AC33" i="17"/>
  <c r="N25" i="48"/>
  <c r="N62" i="53"/>
  <c r="N469" i="52"/>
  <c r="N474" i="52" s="1"/>
  <c r="J539" i="40"/>
  <c r="J540" i="40"/>
  <c r="J538" i="40"/>
  <c r="N809" i="52"/>
  <c r="O79" i="17"/>
  <c r="Z69" i="17"/>
  <c r="Z68" i="17"/>
  <c r="O38" i="53"/>
  <c r="O16" i="48"/>
  <c r="I54" i="53"/>
  <c r="N366" i="52"/>
  <c r="O59" i="17"/>
  <c r="P343" i="51"/>
  <c r="P345" i="51"/>
  <c r="AE30" i="17"/>
  <c r="AE27" i="17" s="1"/>
  <c r="T30" i="17"/>
  <c r="T27" i="17" s="1"/>
  <c r="I27" i="17"/>
  <c r="N91" i="53"/>
  <c r="N46" i="48"/>
  <c r="G23" i="48"/>
  <c r="G60" i="53"/>
  <c r="G62" i="53"/>
  <c r="G25" i="48"/>
  <c r="T77" i="17"/>
  <c r="I76" i="17"/>
  <c r="AE77" i="17"/>
  <c r="AE76" i="17" s="1"/>
  <c r="N98" i="52"/>
  <c r="O28" i="17"/>
  <c r="O25" i="17" s="1"/>
  <c r="H68" i="52"/>
  <c r="H80" i="52"/>
  <c r="H76" i="52"/>
  <c r="H422" i="52"/>
  <c r="H88" i="52"/>
  <c r="H84" i="52"/>
  <c r="H443" i="52"/>
  <c r="H442" i="52"/>
  <c r="O36" i="17"/>
  <c r="Z35" i="17"/>
  <c r="Z36" i="17" s="1"/>
  <c r="N32" i="48"/>
  <c r="N75" i="53"/>
  <c r="G54" i="53"/>
  <c r="P329" i="51"/>
  <c r="T70" i="17"/>
  <c r="AE70" i="17"/>
  <c r="AE68" i="17" s="1"/>
  <c r="G61" i="53"/>
  <c r="G24" i="48"/>
  <c r="O63" i="17"/>
  <c r="N371" i="52"/>
  <c r="T66" i="17"/>
  <c r="T65" i="17" s="1"/>
  <c r="AE66" i="17"/>
  <c r="AE65" i="17" s="1"/>
  <c r="I65" i="17"/>
  <c r="N50" i="48"/>
  <c r="P352" i="51"/>
  <c r="G48" i="53"/>
  <c r="P344" i="51"/>
  <c r="P337" i="51"/>
  <c r="G5" i="52"/>
  <c r="AE29" i="17"/>
  <c r="AE26" i="17" s="1"/>
  <c r="T29" i="17"/>
  <c r="T26" i="17" s="1"/>
  <c r="I26" i="17"/>
  <c r="O40" i="48"/>
  <c r="O79" i="53"/>
  <c r="O36" i="48"/>
  <c r="I48" i="48"/>
  <c r="I94" i="53"/>
  <c r="N54" i="53"/>
  <c r="D46" i="49"/>
  <c r="G46" i="49" s="1"/>
  <c r="I46" i="49" s="1"/>
  <c r="G45" i="49"/>
  <c r="I45" i="49" s="1"/>
  <c r="O98" i="53"/>
  <c r="O52" i="48"/>
  <c r="G94" i="53"/>
  <c r="G48" i="48"/>
  <c r="H419" i="52"/>
  <c r="H65" i="52"/>
  <c r="H85" i="52"/>
  <c r="H77" i="52"/>
  <c r="H81" i="52"/>
  <c r="H73" i="52"/>
  <c r="J6" i="40"/>
  <c r="J8" i="40"/>
  <c r="J10" i="40"/>
  <c r="I83" i="53"/>
  <c r="I40" i="48"/>
  <c r="N34" i="48"/>
  <c r="N77" i="53"/>
  <c r="I27" i="48"/>
  <c r="I66" i="53"/>
  <c r="P290" i="51"/>
  <c r="AK69" i="17"/>
  <c r="AK68" i="17"/>
  <c r="G35" i="49"/>
  <c r="I35" i="49" s="1"/>
  <c r="E36" i="49"/>
  <c r="G36" i="49" s="1"/>
  <c r="I36" i="49" s="1"/>
  <c r="P336" i="51"/>
  <c r="P338" i="51"/>
  <c r="H7" i="17"/>
  <c r="H9" i="17"/>
  <c r="H78" i="52"/>
  <c r="H66" i="52"/>
  <c r="H86" i="52"/>
  <c r="H74" i="52"/>
  <c r="H82" i="52"/>
  <c r="H420" i="52"/>
  <c r="O43" i="17"/>
  <c r="O40" i="17" s="1"/>
  <c r="N266" i="52"/>
  <c r="N261" i="52" s="1"/>
  <c r="O94" i="53"/>
  <c r="O48" i="48"/>
  <c r="H87" i="52"/>
  <c r="H83" i="52"/>
  <c r="H75" i="52"/>
  <c r="H79" i="52"/>
  <c r="H421" i="52"/>
  <c r="H67" i="52"/>
  <c r="N56" i="53"/>
  <c r="I36" i="48"/>
  <c r="I79" i="53"/>
  <c r="P328" i="51"/>
  <c r="P350" i="51"/>
  <c r="N436" i="52"/>
  <c r="N435" i="52" s="1"/>
  <c r="O66" i="17"/>
  <c r="O65" i="17" s="1"/>
  <c r="O15" i="48"/>
  <c r="O37" i="53"/>
  <c r="AE28" i="17"/>
  <c r="AE25" i="17" s="1"/>
  <c r="T28" i="17"/>
  <c r="T25" i="17" s="1"/>
  <c r="I25" i="17"/>
  <c r="O12" i="48"/>
  <c r="O16" i="53"/>
  <c r="H502" i="52"/>
  <c r="H547" i="52"/>
  <c r="H508" i="52"/>
  <c r="H560" i="52"/>
  <c r="H501" i="52"/>
  <c r="H506" i="52"/>
  <c r="H554" i="52"/>
  <c r="H510" i="52"/>
  <c r="H563" i="52"/>
  <c r="H504" i="52"/>
  <c r="H511" i="52"/>
  <c r="H561" i="52"/>
  <c r="H513" i="52"/>
  <c r="H503" i="52"/>
  <c r="H509" i="52"/>
  <c r="H541" i="52"/>
  <c r="H505" i="52"/>
  <c r="H517" i="52"/>
  <c r="H526" i="52"/>
  <c r="H516" i="52"/>
  <c r="H544" i="52"/>
  <c r="H514" i="52"/>
  <c r="H519" i="52"/>
  <c r="H539" i="52"/>
  <c r="H518" i="52"/>
  <c r="H550" i="52"/>
  <c r="H538" i="52"/>
  <c r="H523" i="52"/>
  <c r="H537" i="52"/>
  <c r="H528" i="52"/>
  <c r="H558" i="52"/>
  <c r="H543" i="52"/>
  <c r="H536" i="52"/>
  <c r="H559" i="52"/>
  <c r="H548" i="52"/>
  <c r="H522" i="52"/>
  <c r="H555" i="52"/>
  <c r="H549" i="52"/>
  <c r="H551" i="52"/>
  <c r="H557" i="52"/>
  <c r="H512" i="52"/>
  <c r="H521" i="52"/>
  <c r="H545" i="52"/>
  <c r="H527" i="52"/>
  <c r="H500" i="52"/>
  <c r="H540" i="52"/>
  <c r="H552" i="52"/>
  <c r="H507" i="52"/>
  <c r="H515" i="52"/>
  <c r="H520" i="52"/>
  <c r="H524" i="52"/>
  <c r="H535" i="52"/>
  <c r="H546" i="52"/>
  <c r="H562" i="52"/>
  <c r="H553" i="52"/>
  <c r="H556" i="52"/>
  <c r="H542" i="52"/>
  <c r="H525" i="52"/>
  <c r="O41" i="17"/>
  <c r="O38" i="17" s="1"/>
  <c r="N264" i="52"/>
  <c r="N259" i="52" s="1"/>
  <c r="P23" i="17"/>
  <c r="P9" i="17" s="1"/>
  <c r="P21" i="17"/>
  <c r="I85" i="53"/>
  <c r="I42" i="48"/>
  <c r="I38" i="48"/>
  <c r="I81" i="53"/>
  <c r="P339" i="51"/>
  <c r="P334" i="51"/>
  <c r="O68" i="17"/>
  <c r="G56" i="53"/>
  <c r="I28" i="48"/>
  <c r="I67" i="53"/>
  <c r="AE73" i="17"/>
  <c r="AE72" i="17" s="1"/>
  <c r="I72" i="17"/>
  <c r="T73" i="17"/>
  <c r="T72" i="17" s="1"/>
  <c r="O42" i="17"/>
  <c r="O39" i="17" s="1"/>
  <c r="N265" i="52"/>
  <c r="N260" i="52" s="1"/>
  <c r="O85" i="53"/>
  <c r="O42" i="48"/>
  <c r="I91" i="53"/>
  <c r="I46" i="48"/>
  <c r="N121" i="52"/>
  <c r="N103" i="52"/>
  <c r="N357" i="52"/>
  <c r="J232" i="40"/>
  <c r="O51" i="17"/>
  <c r="O48" i="17" s="1"/>
  <c r="N495" i="52"/>
  <c r="O73" i="17"/>
  <c r="O72" i="17" s="1"/>
  <c r="H24" i="52"/>
  <c r="H379" i="52"/>
  <c r="H36" i="52"/>
  <c r="H33" i="52"/>
  <c r="P340" i="51"/>
  <c r="P347" i="51"/>
  <c r="N709" i="52"/>
  <c r="N708" i="52" s="1"/>
  <c r="O77" i="17"/>
  <c r="N711" i="52"/>
  <c r="O78" i="17"/>
  <c r="H494" i="52"/>
  <c r="I75" i="53"/>
  <c r="I32" i="48"/>
  <c r="D42" i="26"/>
  <c r="C43" i="26"/>
  <c r="G356" i="52"/>
  <c r="G354" i="52"/>
  <c r="G355" i="52"/>
  <c r="I88" i="53"/>
  <c r="I44" i="48"/>
  <c r="O44" i="48"/>
  <c r="O88" i="53"/>
  <c r="I385" i="52"/>
  <c r="I373" i="52"/>
  <c r="I382" i="52"/>
  <c r="G289" i="52"/>
  <c r="G279" i="52"/>
  <c r="P348" i="51"/>
  <c r="P346" i="51"/>
  <c r="I68" i="17"/>
  <c r="N99" i="52"/>
  <c r="O29" i="17"/>
  <c r="O26" i="17" s="1"/>
  <c r="I62" i="53"/>
  <c r="I25" i="48"/>
  <c r="O15" i="53"/>
  <c r="O11" i="48"/>
  <c r="I34" i="48"/>
  <c r="I77" i="53"/>
  <c r="N22" i="52"/>
  <c r="O23" i="17"/>
  <c r="O21" i="17"/>
  <c r="E41" i="26"/>
  <c r="H41" i="26"/>
  <c r="H50" i="17"/>
  <c r="H49" i="17"/>
  <c r="O53" i="48"/>
  <c r="P82" i="17"/>
  <c r="P83" i="17"/>
  <c r="P84" i="17"/>
  <c r="O99" i="53"/>
  <c r="D54" i="26"/>
  <c r="C55" i="26"/>
  <c r="AA26" i="17"/>
  <c r="P341" i="51"/>
  <c r="P349" i="51"/>
  <c r="O17" i="53"/>
  <c r="O13" i="48"/>
  <c r="E22" i="26"/>
  <c r="I22" i="26" s="1"/>
  <c r="H22" i="26"/>
  <c r="D23" i="26"/>
  <c r="C24" i="26"/>
  <c r="N39" i="53"/>
  <c r="N17" i="48"/>
  <c r="Z26" i="17"/>
  <c r="I30" i="48"/>
  <c r="I73" i="53"/>
  <c r="H383" i="52"/>
  <c r="H374" i="52"/>
  <c r="H386" i="52"/>
  <c r="N61" i="53"/>
  <c r="N24" i="48"/>
  <c r="E53" i="26"/>
  <c r="I53" i="26" s="1"/>
  <c r="H53" i="26"/>
  <c r="I60" i="53"/>
  <c r="I23" i="48"/>
  <c r="AA25" i="17"/>
  <c r="J182" i="50"/>
  <c r="J180" i="50"/>
  <c r="J184" i="50"/>
  <c r="P332" i="51"/>
  <c r="G424" i="52" l="1"/>
  <c r="I288" i="52"/>
  <c r="I16" i="53"/>
  <c r="I12" i="48"/>
  <c r="G55" i="53"/>
  <c r="J40" i="17"/>
  <c r="I50" i="53" s="1"/>
  <c r="J39" i="17"/>
  <c r="I49" i="53" s="1"/>
  <c r="I61" i="53"/>
  <c r="I276" i="52"/>
  <c r="I281" i="52"/>
  <c r="I285" i="52"/>
  <c r="I41" i="26"/>
  <c r="U43" i="17"/>
  <c r="U40" i="17" s="1"/>
  <c r="I56" i="53" s="1"/>
  <c r="T76" i="17"/>
  <c r="H96" i="53" s="1"/>
  <c r="G73" i="53"/>
  <c r="I25" i="52"/>
  <c r="I37" i="52"/>
  <c r="I375" i="52"/>
  <c r="I36" i="52"/>
  <c r="I280" i="52"/>
  <c r="I33" i="52"/>
  <c r="I283" i="52"/>
  <c r="G511" i="52"/>
  <c r="J288" i="52"/>
  <c r="G75" i="53"/>
  <c r="G716" i="52"/>
  <c r="J40" i="48"/>
  <c r="I9" i="53"/>
  <c r="G80" i="52"/>
  <c r="G76" i="52"/>
  <c r="J277" i="52"/>
  <c r="G513" i="52"/>
  <c r="G733" i="52"/>
  <c r="J384" i="52"/>
  <c r="J387" i="52"/>
  <c r="J375" i="52"/>
  <c r="G520" i="52"/>
  <c r="G509" i="52"/>
  <c r="G88" i="52"/>
  <c r="G550" i="52"/>
  <c r="G84" i="52"/>
  <c r="G554" i="52"/>
  <c r="J282" i="52"/>
  <c r="G725" i="52"/>
  <c r="I380" i="52"/>
  <c r="J38" i="48"/>
  <c r="I379" i="52"/>
  <c r="G428" i="52"/>
  <c r="G518" i="52"/>
  <c r="G740" i="52"/>
  <c r="G521" i="52"/>
  <c r="G541" i="52"/>
  <c r="G505" i="52"/>
  <c r="G543" i="52"/>
  <c r="G724" i="52"/>
  <c r="G523" i="52"/>
  <c r="G549" i="52"/>
  <c r="G727" i="52"/>
  <c r="I35" i="52"/>
  <c r="G537" i="52"/>
  <c r="G552" i="52"/>
  <c r="G546" i="52"/>
  <c r="G512" i="52"/>
  <c r="G423" i="52"/>
  <c r="G736" i="52"/>
  <c r="G527" i="52"/>
  <c r="I38" i="52"/>
  <c r="G560" i="52"/>
  <c r="G557" i="52"/>
  <c r="G730" i="52"/>
  <c r="I26" i="52"/>
  <c r="G553" i="52"/>
  <c r="G548" i="52"/>
  <c r="G731" i="52"/>
  <c r="G729" i="52"/>
  <c r="G544" i="52"/>
  <c r="G519" i="52"/>
  <c r="G503" i="52"/>
  <c r="G504" i="52"/>
  <c r="G723" i="52"/>
  <c r="G535" i="52"/>
  <c r="G501" i="52"/>
  <c r="G514" i="52"/>
  <c r="G558" i="52"/>
  <c r="G528" i="52"/>
  <c r="G525" i="52"/>
  <c r="G738" i="52"/>
  <c r="G734" i="52"/>
  <c r="G515" i="52"/>
  <c r="G538" i="52"/>
  <c r="G556" i="52"/>
  <c r="G555" i="52"/>
  <c r="G737" i="52"/>
  <c r="G422" i="52"/>
  <c r="G721" i="52"/>
  <c r="G540" i="52"/>
  <c r="G536" i="52"/>
  <c r="G510" i="52"/>
  <c r="G539" i="52"/>
  <c r="G542" i="52"/>
  <c r="J280" i="52"/>
  <c r="G728" i="52"/>
  <c r="G507" i="52"/>
  <c r="G561" i="52"/>
  <c r="G559" i="52"/>
  <c r="G506" i="52"/>
  <c r="G719" i="52"/>
  <c r="G722" i="52"/>
  <c r="G563" i="52"/>
  <c r="J46" i="48"/>
  <c r="J91" i="53"/>
  <c r="J30" i="48"/>
  <c r="J73" i="53"/>
  <c r="J380" i="52"/>
  <c r="J37" i="52"/>
  <c r="J34" i="52"/>
  <c r="J25" i="52"/>
  <c r="J42" i="48"/>
  <c r="J85" i="53"/>
  <c r="J33" i="52"/>
  <c r="J36" i="52"/>
  <c r="J379" i="52"/>
  <c r="J24" i="52"/>
  <c r="G429" i="52"/>
  <c r="J44" i="48"/>
  <c r="J88" i="53"/>
  <c r="J275" i="52"/>
  <c r="G413" i="52"/>
  <c r="J12" i="48"/>
  <c r="J16" i="53"/>
  <c r="J16" i="48"/>
  <c r="J38" i="53"/>
  <c r="AG42" i="17"/>
  <c r="AG39" i="17" s="1"/>
  <c r="V42" i="17"/>
  <c r="V39" i="17" s="1"/>
  <c r="K39" i="17"/>
  <c r="G718" i="52"/>
  <c r="G735" i="52"/>
  <c r="J27" i="53"/>
  <c r="J26" i="53"/>
  <c r="AG43" i="17"/>
  <c r="AG40" i="17" s="1"/>
  <c r="V43" i="17"/>
  <c r="V40" i="17" s="1"/>
  <c r="K40" i="17"/>
  <c r="J15" i="48"/>
  <c r="J37" i="53"/>
  <c r="G545" i="52"/>
  <c r="G522" i="52"/>
  <c r="G508" i="52"/>
  <c r="G562" i="52"/>
  <c r="G720" i="52"/>
  <c r="G715" i="52"/>
  <c r="K38" i="17"/>
  <c r="AG41" i="17"/>
  <c r="AG38" i="17" s="1"/>
  <c r="V41" i="17"/>
  <c r="V38" i="17" s="1"/>
  <c r="J276" i="52"/>
  <c r="J286" i="52"/>
  <c r="J281" i="52"/>
  <c r="G526" i="52"/>
  <c r="G547" i="52"/>
  <c r="G502" i="52"/>
  <c r="G524" i="52"/>
  <c r="G739" i="52"/>
  <c r="G732" i="52"/>
  <c r="J279" i="52"/>
  <c r="J289" i="52"/>
  <c r="J17" i="53"/>
  <c r="J13" i="48"/>
  <c r="J38" i="52"/>
  <c r="J381" i="52"/>
  <c r="J26" i="52"/>
  <c r="J35" i="52"/>
  <c r="J34" i="48"/>
  <c r="J77" i="53"/>
  <c r="G551" i="52"/>
  <c r="G516" i="52"/>
  <c r="G517" i="52"/>
  <c r="G717" i="52"/>
  <c r="J39" i="53"/>
  <c r="J17" i="48"/>
  <c r="J32" i="48"/>
  <c r="J75" i="53"/>
  <c r="H19" i="48"/>
  <c r="H28" i="48"/>
  <c r="T68" i="17"/>
  <c r="H38" i="48" s="1"/>
  <c r="G52" i="48"/>
  <c r="G98" i="53"/>
  <c r="G50" i="48"/>
  <c r="G20" i="48"/>
  <c r="G411" i="52"/>
  <c r="G87" i="52"/>
  <c r="G75" i="52"/>
  <c r="G421" i="52"/>
  <c r="G83" i="52"/>
  <c r="J52" i="48"/>
  <c r="S68" i="17"/>
  <c r="G81" i="53" s="1"/>
  <c r="G79" i="52"/>
  <c r="J53" i="26"/>
  <c r="L6" i="39" s="1"/>
  <c r="J52" i="26"/>
  <c r="K6" i="39" s="1"/>
  <c r="J22" i="26"/>
  <c r="J5" i="39" s="1"/>
  <c r="I13" i="26"/>
  <c r="J13" i="26" s="1"/>
  <c r="W5" i="39" s="1"/>
  <c r="N52" i="48"/>
  <c r="J21" i="26"/>
  <c r="I5" i="39" s="1"/>
  <c r="Z27" i="17"/>
  <c r="N28" i="53" s="1"/>
  <c r="J41" i="26"/>
  <c r="V6" i="39" s="1"/>
  <c r="D15" i="26"/>
  <c r="C16" i="26"/>
  <c r="P8" i="17"/>
  <c r="O8" i="48" s="1"/>
  <c r="E14" i="26"/>
  <c r="H14" i="26"/>
  <c r="AD68" i="17"/>
  <c r="G40" i="48" s="1"/>
  <c r="G36" i="48"/>
  <c r="G79" i="53"/>
  <c r="J96" i="53"/>
  <c r="J50" i="48"/>
  <c r="G414" i="52"/>
  <c r="G430" i="52"/>
  <c r="G426" i="52"/>
  <c r="G78" i="52"/>
  <c r="G420" i="52"/>
  <c r="G74" i="52"/>
  <c r="G82" i="52"/>
  <c r="G66" i="52"/>
  <c r="G86" i="52"/>
  <c r="G73" i="52"/>
  <c r="G419" i="52"/>
  <c r="G65" i="52"/>
  <c r="G81" i="52"/>
  <c r="G77" i="52"/>
  <c r="G85" i="52"/>
  <c r="I96" i="53"/>
  <c r="H21" i="48"/>
  <c r="H23" i="48"/>
  <c r="H27" i="48"/>
  <c r="H384" i="52"/>
  <c r="H375" i="52"/>
  <c r="H65" i="53"/>
  <c r="H382" i="52"/>
  <c r="H373" i="52"/>
  <c r="I52" i="48"/>
  <c r="O9" i="53"/>
  <c r="O9" i="48"/>
  <c r="O8" i="53"/>
  <c r="G9" i="53"/>
  <c r="G9" i="48"/>
  <c r="H77" i="53"/>
  <c r="H34" i="48"/>
  <c r="N36" i="48"/>
  <c r="N79" i="53"/>
  <c r="N99" i="53"/>
  <c r="O83" i="17"/>
  <c r="O84" i="17"/>
  <c r="O82" i="17"/>
  <c r="N53" i="48"/>
  <c r="G374" i="52"/>
  <c r="G386" i="52"/>
  <c r="G383" i="52"/>
  <c r="N73" i="53"/>
  <c r="N30" i="48"/>
  <c r="H28" i="53"/>
  <c r="N442" i="52"/>
  <c r="N443" i="52"/>
  <c r="G7" i="53"/>
  <c r="G7" i="48"/>
  <c r="G35" i="52"/>
  <c r="G26" i="52"/>
  <c r="G381" i="52"/>
  <c r="G38" i="52"/>
  <c r="N116" i="52"/>
  <c r="N111" i="52" s="1"/>
  <c r="N95" i="52"/>
  <c r="G27" i="48"/>
  <c r="G66" i="53"/>
  <c r="D43" i="26"/>
  <c r="C44" i="26"/>
  <c r="G380" i="52"/>
  <c r="G25" i="52"/>
  <c r="G37" i="52"/>
  <c r="G34" i="52"/>
  <c r="N812" i="52"/>
  <c r="N813" i="52"/>
  <c r="N814" i="52"/>
  <c r="Z25" i="17"/>
  <c r="G24" i="52"/>
  <c r="G36" i="52"/>
  <c r="G33" i="52"/>
  <c r="G379" i="52"/>
  <c r="O28" i="53"/>
  <c r="N275" i="52"/>
  <c r="N285" i="52"/>
  <c r="N280" i="52"/>
  <c r="N21" i="48"/>
  <c r="N50" i="53"/>
  <c r="N9" i="52"/>
  <c r="N6" i="52" s="1"/>
  <c r="O11" i="17"/>
  <c r="O8" i="17" s="1"/>
  <c r="N85" i="53"/>
  <c r="N42" i="48"/>
  <c r="N277" i="52"/>
  <c r="N282" i="52"/>
  <c r="N287" i="52"/>
  <c r="O81" i="53"/>
  <c r="O38" i="48"/>
  <c r="N27" i="53"/>
  <c r="N26" i="48"/>
  <c r="N65" i="53"/>
  <c r="N49" i="53"/>
  <c r="N20" i="48"/>
  <c r="N19" i="48"/>
  <c r="N48" i="53"/>
  <c r="O10" i="17"/>
  <c r="O7" i="17" s="1"/>
  <c r="N8" i="52"/>
  <c r="N5" i="52" s="1"/>
  <c r="N13" i="48"/>
  <c r="N17" i="53"/>
  <c r="G384" i="52"/>
  <c r="G375" i="52"/>
  <c r="G387" i="52"/>
  <c r="G65" i="53"/>
  <c r="G26" i="48"/>
  <c r="O27" i="53"/>
  <c r="O76" i="17"/>
  <c r="J234" i="40"/>
  <c r="O52" i="17"/>
  <c r="O49" i="17" s="1"/>
  <c r="N358" i="52"/>
  <c r="N355" i="52" s="1"/>
  <c r="H88" i="53"/>
  <c r="H44" i="48"/>
  <c r="H15" i="53"/>
  <c r="H11" i="48"/>
  <c r="N83" i="53"/>
  <c r="N40" i="48"/>
  <c r="N15" i="53"/>
  <c r="N11" i="48"/>
  <c r="N10" i="52"/>
  <c r="N7" i="52" s="1"/>
  <c r="O12" i="17"/>
  <c r="O9" i="17" s="1"/>
  <c r="N354" i="52"/>
  <c r="H85" i="53"/>
  <c r="H42" i="48"/>
  <c r="H26" i="53"/>
  <c r="N93" i="52"/>
  <c r="N114" i="52"/>
  <c r="N109" i="52" s="1"/>
  <c r="N441" i="52" s="1"/>
  <c r="H79" i="53"/>
  <c r="H36" i="48"/>
  <c r="E42" i="26"/>
  <c r="H42" i="26"/>
  <c r="P7" i="17"/>
  <c r="N276" i="52"/>
  <c r="N281" i="52"/>
  <c r="N286" i="52"/>
  <c r="D55" i="26"/>
  <c r="C56" i="26"/>
  <c r="E54" i="26"/>
  <c r="H54" i="26"/>
  <c r="I54" i="26" s="1"/>
  <c r="H40" i="48"/>
  <c r="H83" i="53"/>
  <c r="N119" i="52"/>
  <c r="N97" i="52"/>
  <c r="N96" i="52"/>
  <c r="N113" i="52"/>
  <c r="N112" i="52"/>
  <c r="H91" i="53"/>
  <c r="H46" i="48"/>
  <c r="H15" i="48"/>
  <c r="H37" i="53"/>
  <c r="H52" i="48"/>
  <c r="H98" i="53"/>
  <c r="H16" i="48"/>
  <c r="H38" i="53"/>
  <c r="G382" i="52"/>
  <c r="G373" i="52"/>
  <c r="G385" i="52"/>
  <c r="H17" i="48"/>
  <c r="H39" i="53"/>
  <c r="O26" i="53"/>
  <c r="N530" i="52"/>
  <c r="N529" i="52" s="1"/>
  <c r="N494" i="52"/>
  <c r="H23" i="26"/>
  <c r="E23" i="26"/>
  <c r="I23" i="26" s="1"/>
  <c r="H16" i="53"/>
  <c r="H12" i="48"/>
  <c r="H48" i="48"/>
  <c r="H94" i="53"/>
  <c r="G8" i="48"/>
  <c r="G8" i="53"/>
  <c r="N81" i="53"/>
  <c r="N38" i="48"/>
  <c r="H32" i="48"/>
  <c r="H75" i="53"/>
  <c r="G67" i="53"/>
  <c r="G28" i="48"/>
  <c r="D24" i="26"/>
  <c r="C25" i="26"/>
  <c r="N12" i="48"/>
  <c r="N16" i="53"/>
  <c r="N115" i="52"/>
  <c r="N110" i="52" s="1"/>
  <c r="N94" i="52"/>
  <c r="H27" i="53"/>
  <c r="H30" i="48"/>
  <c r="H73" i="53"/>
  <c r="H17" i="53"/>
  <c r="H13" i="48"/>
  <c r="I20" i="48" l="1"/>
  <c r="I14" i="26"/>
  <c r="I21" i="48"/>
  <c r="H50" i="48"/>
  <c r="J61" i="53"/>
  <c r="J24" i="48"/>
  <c r="J50" i="53"/>
  <c r="J21" i="48"/>
  <c r="J54" i="53"/>
  <c r="J56" i="53"/>
  <c r="J60" i="53"/>
  <c r="J23" i="48"/>
  <c r="J25" i="48"/>
  <c r="J62" i="53"/>
  <c r="J48" i="53"/>
  <c r="J19" i="48"/>
  <c r="J20" i="48"/>
  <c r="J49" i="53"/>
  <c r="J55" i="53"/>
  <c r="H81" i="53"/>
  <c r="G38" i="48"/>
  <c r="J54" i="26"/>
  <c r="M6" i="39" s="1"/>
  <c r="J23" i="26"/>
  <c r="K5" i="39" s="1"/>
  <c r="I42" i="26"/>
  <c r="J14" i="26"/>
  <c r="X5" i="39" s="1"/>
  <c r="G83" i="53"/>
  <c r="C17" i="26"/>
  <c r="D17" i="26" s="1"/>
  <c r="D16" i="26"/>
  <c r="E15" i="26"/>
  <c r="I15" i="26" s="1"/>
  <c r="H15" i="26"/>
  <c r="N381" i="52"/>
  <c r="N38" i="52"/>
  <c r="N35" i="52"/>
  <c r="N41" i="52"/>
  <c r="N26" i="52"/>
  <c r="N32" i="52"/>
  <c r="O7" i="53"/>
  <c r="O7" i="48"/>
  <c r="N9" i="53"/>
  <c r="N9" i="48"/>
  <c r="E43" i="26"/>
  <c r="H43" i="26"/>
  <c r="N26" i="53"/>
  <c r="N385" i="52"/>
  <c r="N382" i="52"/>
  <c r="N373" i="52"/>
  <c r="N36" i="52"/>
  <c r="N30" i="52"/>
  <c r="N39" i="52"/>
  <c r="N33" i="52"/>
  <c r="N24" i="52"/>
  <c r="N379" i="52"/>
  <c r="C45" i="26"/>
  <c r="D44" i="26"/>
  <c r="N7" i="53"/>
  <c r="N7" i="48"/>
  <c r="E24" i="26"/>
  <c r="H24" i="26"/>
  <c r="N383" i="52"/>
  <c r="N386" i="52"/>
  <c r="N374" i="52"/>
  <c r="N8" i="48"/>
  <c r="N8" i="53"/>
  <c r="N27" i="48"/>
  <c r="N66" i="53"/>
  <c r="N25" i="52"/>
  <c r="N380" i="52"/>
  <c r="N31" i="52"/>
  <c r="N40" i="52"/>
  <c r="N37" i="52"/>
  <c r="N34" i="52"/>
  <c r="D25" i="26"/>
  <c r="C26" i="26"/>
  <c r="C57" i="26"/>
  <c r="D56" i="26"/>
  <c r="O53" i="17"/>
  <c r="O50" i="17" s="1"/>
  <c r="N359" i="52"/>
  <c r="N356" i="52" s="1"/>
  <c r="H55" i="26"/>
  <c r="E55" i="26"/>
  <c r="N94" i="53"/>
  <c r="N48" i="48"/>
  <c r="I55" i="26" l="1"/>
  <c r="J15" i="26"/>
  <c r="Y5" i="39" s="1"/>
  <c r="E16" i="26"/>
  <c r="H16" i="26"/>
  <c r="E17" i="26"/>
  <c r="H17" i="26"/>
  <c r="I17" i="26"/>
  <c r="J17" i="26" s="1"/>
  <c r="J42" i="26"/>
  <c r="W6" i="39" s="1"/>
  <c r="I24" i="26"/>
  <c r="J55" i="26"/>
  <c r="N6" i="39" s="1"/>
  <c r="I43" i="26"/>
  <c r="E56" i="26"/>
  <c r="H56" i="26"/>
  <c r="I56" i="26"/>
  <c r="E44" i="26"/>
  <c r="H44" i="26"/>
  <c r="D57" i="26"/>
  <c r="C58" i="26"/>
  <c r="D26" i="26"/>
  <c r="C27" i="26"/>
  <c r="D45" i="26"/>
  <c r="C46" i="26"/>
  <c r="D46" i="26" s="1"/>
  <c r="E25" i="26"/>
  <c r="I25" i="26" s="1"/>
  <c r="H25" i="26"/>
  <c r="N384" i="52"/>
  <c r="N387" i="52"/>
  <c r="N375" i="52"/>
  <c r="N67" i="53"/>
  <c r="N28" i="48"/>
  <c r="I16" i="26" l="1"/>
  <c r="J16" i="26"/>
  <c r="Z5" i="39" s="1"/>
  <c r="J24" i="26"/>
  <c r="L5" i="39" s="1"/>
  <c r="J56" i="26"/>
  <c r="O6" i="39" s="1"/>
  <c r="I44" i="26"/>
  <c r="J25" i="26"/>
  <c r="M5" i="39" s="1"/>
  <c r="J43" i="26"/>
  <c r="X6" i="39" s="1"/>
  <c r="E46" i="26"/>
  <c r="H46" i="26"/>
  <c r="E45" i="26"/>
  <c r="H45" i="26"/>
  <c r="I45" i="26" s="1"/>
  <c r="D27" i="26"/>
  <c r="C28" i="26"/>
  <c r="E26" i="26"/>
  <c r="I26" i="26"/>
  <c r="H26" i="26"/>
  <c r="D58" i="26"/>
  <c r="C59" i="26"/>
  <c r="D59" i="26" s="1"/>
  <c r="H57" i="26"/>
  <c r="E57" i="26"/>
  <c r="I46" i="26" l="1"/>
  <c r="J46" i="26" s="1"/>
  <c r="J45" i="26"/>
  <c r="Z6" i="39" s="1"/>
  <c r="N5" i="39"/>
  <c r="J26" i="26"/>
  <c r="J44" i="26"/>
  <c r="Y6" i="39" s="1"/>
  <c r="I57" i="26"/>
  <c r="D28" i="26"/>
  <c r="C29" i="26"/>
  <c r="E27" i="26"/>
  <c r="H27" i="26"/>
  <c r="E58" i="26"/>
  <c r="H58" i="26"/>
  <c r="I58" i="26" s="1"/>
  <c r="E59" i="26"/>
  <c r="H59" i="26"/>
  <c r="I27" i="26" l="1"/>
  <c r="I59" i="26"/>
  <c r="J27" i="26"/>
  <c r="O5" i="39" s="1"/>
  <c r="J57" i="26"/>
  <c r="P6" i="39" s="1"/>
  <c r="J59" i="26"/>
  <c r="R6" i="39" s="1"/>
  <c r="J58" i="26"/>
  <c r="Q6" i="39" s="1"/>
  <c r="E28" i="26"/>
  <c r="H28" i="26"/>
  <c r="I28" i="26" s="1"/>
  <c r="C30" i="26"/>
  <c r="D30" i="26" s="1"/>
  <c r="D29" i="26"/>
  <c r="AH103" i="39" l="1"/>
  <c r="J112" i="40" s="1"/>
  <c r="AH426" i="39"/>
  <c r="AH202" i="39"/>
  <c r="AH119" i="39"/>
  <c r="J128" i="40" s="1"/>
  <c r="AF244" i="39"/>
  <c r="AH151" i="39"/>
  <c r="AH187" i="39"/>
  <c r="J204" i="40" s="1"/>
  <c r="L204" i="40" s="1"/>
  <c r="AH136" i="39"/>
  <c r="J45" i="51" s="1"/>
  <c r="AH288" i="39"/>
  <c r="J316" i="40" s="1"/>
  <c r="M316" i="40" s="1"/>
  <c r="AF29" i="39"/>
  <c r="H30" i="40" s="1"/>
  <c r="I30" i="40" s="1"/>
  <c r="AH373" i="39"/>
  <c r="AH194" i="39"/>
  <c r="J126" i="51" s="1"/>
  <c r="AF249" i="39"/>
  <c r="H274" i="40" s="1"/>
  <c r="I274" i="40" s="1"/>
  <c r="AH305" i="39"/>
  <c r="J333" i="40" s="1"/>
  <c r="AH354" i="39"/>
  <c r="J189" i="51" s="1"/>
  <c r="AF239" i="39"/>
  <c r="H264" i="40" s="1"/>
  <c r="I264" i="40" s="1"/>
  <c r="AH432" i="39"/>
  <c r="J466" i="40" s="1"/>
  <c r="AH169" i="39"/>
  <c r="J186" i="40" s="1"/>
  <c r="AH309" i="39"/>
  <c r="J337" i="40" s="1"/>
  <c r="AF25" i="39"/>
  <c r="H26" i="40" s="1"/>
  <c r="I26" i="40" s="1"/>
  <c r="AH104" i="39"/>
  <c r="J113" i="40" s="1"/>
  <c r="L113" i="40" s="1"/>
  <c r="AF260" i="39"/>
  <c r="H285" i="40" s="1"/>
  <c r="I285" i="40" s="1"/>
  <c r="AH144" i="39"/>
  <c r="J153" i="40" s="1"/>
  <c r="M153" i="40" s="1"/>
  <c r="AF33" i="39"/>
  <c r="H27" i="50" s="1"/>
  <c r="I27" i="50" s="1"/>
  <c r="AH147" i="39"/>
  <c r="AF57" i="39"/>
  <c r="AH360" i="39"/>
  <c r="J391" i="40" s="1"/>
  <c r="AF74" i="39"/>
  <c r="H75" i="40" s="1"/>
  <c r="I75" i="40" s="1"/>
  <c r="F20" i="17" s="1"/>
  <c r="L20" i="17" s="1"/>
  <c r="AF68" i="39"/>
  <c r="AH460" i="39"/>
  <c r="AF36" i="39"/>
  <c r="H37" i="40" s="1"/>
  <c r="I37" i="40" s="1"/>
  <c r="AF220" i="39"/>
  <c r="H196" i="50" s="1"/>
  <c r="I196" i="50" s="1"/>
  <c r="AF15" i="39"/>
  <c r="H16" i="40" s="1"/>
  <c r="I16" i="40" s="1"/>
  <c r="AH463" i="39"/>
  <c r="J500" i="40" s="1"/>
  <c r="L500" i="40" s="1"/>
  <c r="AH419" i="39"/>
  <c r="AH448" i="39"/>
  <c r="J485" i="40" s="1"/>
  <c r="M485" i="40" s="1"/>
  <c r="AF263" i="39"/>
  <c r="AH479" i="39"/>
  <c r="AF67" i="39"/>
  <c r="H68" i="40" s="1"/>
  <c r="I68" i="40" s="1"/>
  <c r="AH118" i="39"/>
  <c r="J127" i="40" s="1"/>
  <c r="K127" i="40" s="1"/>
  <c r="AH172" i="39"/>
  <c r="J189" i="40" s="1"/>
  <c r="AF219" i="39"/>
  <c r="AH458" i="39"/>
  <c r="AH182" i="39"/>
  <c r="AH152" i="39"/>
  <c r="J161" i="40" s="1"/>
  <c r="M161" i="40" s="1"/>
  <c r="AH200" i="39"/>
  <c r="J133" i="51" s="1"/>
  <c r="AF84" i="39"/>
  <c r="H80" i="50" s="1"/>
  <c r="I80" i="50" s="1"/>
  <c r="AH389" i="39"/>
  <c r="J423" i="40" s="1"/>
  <c r="AH372" i="39"/>
  <c r="AF66" i="39"/>
  <c r="AH394" i="39"/>
  <c r="J428" i="40" s="1"/>
  <c r="AF216" i="39"/>
  <c r="AH339" i="39"/>
  <c r="AH283" i="39"/>
  <c r="J311" i="40" s="1"/>
  <c r="AH116" i="39"/>
  <c r="J125" i="40" s="1"/>
  <c r="K125" i="40" s="1"/>
  <c r="AH100" i="39"/>
  <c r="J109" i="40" s="1"/>
  <c r="M109" i="40" s="1"/>
  <c r="AH411" i="39"/>
  <c r="J226" i="51" s="1"/>
  <c r="AH465" i="39"/>
  <c r="J502" i="40" s="1"/>
  <c r="L502" i="40" s="1"/>
  <c r="AH208" i="39"/>
  <c r="AH418" i="39"/>
  <c r="J228" i="51" s="1"/>
  <c r="AF49" i="39"/>
  <c r="AF218" i="39"/>
  <c r="AH114" i="39"/>
  <c r="J123" i="40" s="1"/>
  <c r="M123" i="40" s="1"/>
  <c r="AF47" i="39"/>
  <c r="H33" i="50" s="1"/>
  <c r="I33" i="50" s="1"/>
  <c r="AF78" i="39"/>
  <c r="AH96" i="39"/>
  <c r="AF70" i="39"/>
  <c r="AH356" i="39"/>
  <c r="AF246" i="39"/>
  <c r="H236" i="50" s="1"/>
  <c r="I236" i="50" s="1"/>
  <c r="AH293" i="39"/>
  <c r="J321" i="40" s="1"/>
  <c r="L321" i="40" s="1"/>
  <c r="AH203" i="39"/>
  <c r="AH459" i="39"/>
  <c r="J299" i="51" s="1"/>
  <c r="AF60" i="39"/>
  <c r="H61" i="40" s="1"/>
  <c r="I61" i="40" s="1"/>
  <c r="AF251" i="39"/>
  <c r="AF215" i="39"/>
  <c r="AH196" i="39"/>
  <c r="AH165" i="39"/>
  <c r="J182" i="40" s="1"/>
  <c r="AH474" i="39"/>
  <c r="AF231" i="39"/>
  <c r="H256" i="40" s="1"/>
  <c r="I256" i="40" s="1"/>
  <c r="AH338" i="39"/>
  <c r="J369" i="40" s="1"/>
  <c r="AH130" i="39"/>
  <c r="J139" i="40" s="1"/>
  <c r="M139" i="40" s="1"/>
  <c r="AH131" i="39"/>
  <c r="J140" i="40" s="1"/>
  <c r="M140" i="40" s="1"/>
  <c r="AF236" i="39"/>
  <c r="AH488" i="39"/>
  <c r="AF223" i="39"/>
  <c r="H248" i="40" s="1"/>
  <c r="I248" i="40" s="1"/>
  <c r="AH189" i="39"/>
  <c r="AH317" i="39"/>
  <c r="J166" i="51" s="1"/>
  <c r="AH350" i="39"/>
  <c r="J381" i="40" s="1"/>
  <c r="M381" i="40" s="1"/>
  <c r="AF224" i="39"/>
  <c r="H249" i="40" s="1"/>
  <c r="I249" i="40" s="1"/>
  <c r="AH484" i="39"/>
  <c r="AH281" i="39"/>
  <c r="AH456" i="39"/>
  <c r="J493" i="40" s="1"/>
  <c r="AF257" i="39"/>
  <c r="H282" i="40" s="1"/>
  <c r="I282" i="40" s="1"/>
  <c r="AH171" i="39"/>
  <c r="J188" i="40" s="1"/>
  <c r="M188" i="40" s="1"/>
  <c r="AF8" i="39"/>
  <c r="AH201" i="39"/>
  <c r="J218" i="40" s="1"/>
  <c r="AH109" i="39"/>
  <c r="AF46" i="39"/>
  <c r="AH320" i="39"/>
  <c r="AH399" i="39"/>
  <c r="J433" i="40" s="1"/>
  <c r="AH178" i="39"/>
  <c r="J195" i="40" s="1"/>
  <c r="AF38" i="39"/>
  <c r="H39" i="40" s="1"/>
  <c r="I39" i="40" s="1"/>
  <c r="AF235" i="39"/>
  <c r="H225" i="50" s="1"/>
  <c r="AF63" i="39"/>
  <c r="H64" i="40" s="1"/>
  <c r="I64" i="40" s="1"/>
  <c r="AF492" i="39"/>
  <c r="H358" i="50" s="1"/>
  <c r="I358" i="50" s="1"/>
  <c r="AH134" i="39"/>
  <c r="J143" i="40" s="1"/>
  <c r="L143" i="40" s="1"/>
  <c r="AH142" i="39"/>
  <c r="AF221" i="39"/>
  <c r="H197" i="50" s="1"/>
  <c r="I197" i="50" s="1"/>
  <c r="AH298" i="39"/>
  <c r="J326" i="40" s="1"/>
  <c r="AH366" i="39"/>
  <c r="AF31" i="39"/>
  <c r="H32" i="40" s="1"/>
  <c r="I32" i="40" s="1"/>
  <c r="AH344" i="39"/>
  <c r="J375" i="40" s="1"/>
  <c r="K375" i="40" s="1"/>
  <c r="AH405" i="39"/>
  <c r="J439" i="40" s="1"/>
  <c r="AH168" i="39"/>
  <c r="J185" i="40" s="1"/>
  <c r="AF22" i="39"/>
  <c r="AF43" i="39"/>
  <c r="H44" i="40" s="1"/>
  <c r="I44" i="40" s="1"/>
  <c r="AF228" i="39"/>
  <c r="H253" i="40" s="1"/>
  <c r="I253" i="40" s="1"/>
  <c r="AH401" i="39"/>
  <c r="J435" i="40" s="1"/>
  <c r="L435" i="40" s="1"/>
  <c r="AH125" i="39"/>
  <c r="J134" i="40" s="1"/>
  <c r="AH396" i="39"/>
  <c r="J430" i="40" s="1"/>
  <c r="M430" i="40" s="1"/>
  <c r="AF13" i="39"/>
  <c r="AF37" i="39"/>
  <c r="H38" i="40" s="1"/>
  <c r="AH185" i="39"/>
  <c r="J202" i="40" s="1"/>
  <c r="AH102" i="39"/>
  <c r="J111" i="40" s="1"/>
  <c r="AH424" i="39"/>
  <c r="AH423" i="39"/>
  <c r="AH106" i="39"/>
  <c r="J115" i="40" s="1"/>
  <c r="M115" i="40" s="1"/>
  <c r="AH316" i="39"/>
  <c r="J344" i="40" s="1"/>
  <c r="AH452" i="39"/>
  <c r="J296" i="51" s="1"/>
  <c r="AF256" i="39"/>
  <c r="H247" i="50" s="1"/>
  <c r="I247" i="50" s="1"/>
  <c r="AH427" i="39"/>
  <c r="AH413" i="39"/>
  <c r="J447" i="40" s="1"/>
  <c r="K447" i="40" s="1"/>
  <c r="AH170" i="39"/>
  <c r="J187" i="40" s="1"/>
  <c r="AH280" i="39"/>
  <c r="AH414" i="39"/>
  <c r="J448" i="40" s="1"/>
  <c r="K448" i="40" s="1"/>
  <c r="AF24" i="39"/>
  <c r="H25" i="40" s="1"/>
  <c r="I25" i="40" s="1"/>
  <c r="AH397" i="39"/>
  <c r="J431" i="40" s="1"/>
  <c r="AF233" i="39"/>
  <c r="AF45" i="39"/>
  <c r="AH445" i="39"/>
  <c r="J482" i="40" s="1"/>
  <c r="AH150" i="39"/>
  <c r="J80" i="51" s="1"/>
  <c r="AF34" i="39"/>
  <c r="H28" i="50" s="1"/>
  <c r="I28" i="50" s="1"/>
  <c r="AH184" i="39"/>
  <c r="J201" i="40" s="1"/>
  <c r="M201" i="40" s="1"/>
  <c r="AF237" i="39"/>
  <c r="H227" i="50" s="1"/>
  <c r="I227" i="50" s="1"/>
  <c r="AF54" i="39"/>
  <c r="AH282" i="39"/>
  <c r="AH369" i="39"/>
  <c r="AH319" i="39"/>
  <c r="AH180" i="39"/>
  <c r="J197" i="40" s="1"/>
  <c r="AH312" i="39"/>
  <c r="AH370" i="39"/>
  <c r="J200" i="51" s="1"/>
  <c r="AH278" i="39"/>
  <c r="J148" i="51" s="1"/>
  <c r="AF264" i="39"/>
  <c r="H289" i="40" s="1"/>
  <c r="I289" i="40" s="1"/>
  <c r="AH123" i="39"/>
  <c r="J33" i="51" s="1"/>
  <c r="AH198" i="39"/>
  <c r="AH472" i="39"/>
  <c r="J307" i="51" s="1"/>
  <c r="AF214" i="39"/>
  <c r="AF211" i="39"/>
  <c r="AH377" i="39"/>
  <c r="J209" i="51" s="1"/>
  <c r="AH429" i="39"/>
  <c r="J240" i="51" s="1"/>
  <c r="AH469" i="39"/>
  <c r="AH473" i="39"/>
  <c r="AF19" i="39"/>
  <c r="AH386" i="39"/>
  <c r="AF225" i="39"/>
  <c r="H250" i="40" s="1"/>
  <c r="I250" i="40" s="1"/>
  <c r="AH410" i="39"/>
  <c r="J225" i="51" s="1"/>
  <c r="AH365" i="39"/>
  <c r="J396" i="40" s="1"/>
  <c r="AH478" i="39"/>
  <c r="J515" i="40" s="1"/>
  <c r="AH166" i="39"/>
  <c r="J183" i="40" s="1"/>
  <c r="AH148" i="39"/>
  <c r="AF52" i="39"/>
  <c r="H53" i="40" s="1"/>
  <c r="I53" i="40" s="1"/>
  <c r="AH179" i="39"/>
  <c r="J196" i="40" s="1"/>
  <c r="AH341" i="39"/>
  <c r="J372" i="40" s="1"/>
  <c r="AH393" i="39"/>
  <c r="J427" i="40" s="1"/>
  <c r="L427" i="40" s="1"/>
  <c r="AF222" i="39"/>
  <c r="H247" i="40" s="1"/>
  <c r="I247" i="40" s="1"/>
  <c r="AH416" i="39"/>
  <c r="J450" i="40" s="1"/>
  <c r="M450" i="40" s="1"/>
  <c r="AF55" i="39"/>
  <c r="AF83" i="39"/>
  <c r="H84" i="40" s="1"/>
  <c r="I84" i="40" s="1"/>
  <c r="AH481" i="39"/>
  <c r="AH359" i="39"/>
  <c r="J390" i="40" s="1"/>
  <c r="M390" i="40" s="1"/>
  <c r="AF496" i="39"/>
  <c r="AF243" i="39"/>
  <c r="H268" i="40" s="1"/>
  <c r="I268" i="40" s="1"/>
  <c r="AH284" i="39"/>
  <c r="J312" i="40" s="1"/>
  <c r="M312" i="40" s="1"/>
  <c r="AH443" i="39"/>
  <c r="AH193" i="39"/>
  <c r="AH295" i="39"/>
  <c r="J323" i="40" s="1"/>
  <c r="AF495" i="39"/>
  <c r="AH98" i="39"/>
  <c r="J107" i="40" s="1"/>
  <c r="AH107" i="39"/>
  <c r="AH199" i="39"/>
  <c r="J132" i="51" s="1"/>
  <c r="AF14" i="39"/>
  <c r="H15" i="50" s="1"/>
  <c r="I15" i="50" s="1"/>
  <c r="AF72" i="39"/>
  <c r="H73" i="40" s="1"/>
  <c r="I73" i="40" s="1"/>
  <c r="AH378" i="39"/>
  <c r="AH299" i="39"/>
  <c r="J327" i="40" s="1"/>
  <c r="AH313" i="39"/>
  <c r="J161" i="51" s="1"/>
  <c r="AH190" i="39"/>
  <c r="AH108" i="39"/>
  <c r="AF212" i="39"/>
  <c r="H237" i="40" s="1"/>
  <c r="I237" i="40" s="1"/>
  <c r="AH376" i="39"/>
  <c r="J407" i="40" s="1"/>
  <c r="AF21" i="39"/>
  <c r="H22" i="50" s="1"/>
  <c r="I22" i="50" s="1"/>
  <c r="AH367" i="39"/>
  <c r="AH138" i="39"/>
  <c r="J147" i="40" s="1"/>
  <c r="AF261" i="39"/>
  <c r="AH195" i="39"/>
  <c r="J127" i="51" s="1"/>
  <c r="AF32" i="39"/>
  <c r="H26" i="50" s="1"/>
  <c r="I26" i="50" s="1"/>
  <c r="AF76" i="39"/>
  <c r="H77" i="40" s="1"/>
  <c r="I77" i="40" s="1"/>
  <c r="AF234" i="39"/>
  <c r="H259" i="40" s="1"/>
  <c r="I259" i="40" s="1"/>
  <c r="AH140" i="39"/>
  <c r="J149" i="40" s="1"/>
  <c r="AH342" i="39"/>
  <c r="J373" i="40" s="1"/>
  <c r="AF71" i="39"/>
  <c r="AH129" i="39"/>
  <c r="AH431" i="39"/>
  <c r="J465" i="40" s="1"/>
  <c r="M465" i="40" s="1"/>
  <c r="AF227" i="39"/>
  <c r="AH300" i="39"/>
  <c r="J154" i="51" s="1"/>
  <c r="AH430" i="39"/>
  <c r="J241" i="51" s="1"/>
  <c r="AH477" i="39"/>
  <c r="J313" i="51" s="1"/>
  <c r="AH466" i="39"/>
  <c r="J503" i="40" s="1"/>
  <c r="AH301" i="39"/>
  <c r="AF241" i="39"/>
  <c r="AH318" i="39"/>
  <c r="AF230" i="39"/>
  <c r="H255" i="40" s="1"/>
  <c r="I255" i="40" s="1"/>
  <c r="AF491" i="39"/>
  <c r="H530" i="40" s="1"/>
  <c r="AH447" i="39"/>
  <c r="J484" i="40" s="1"/>
  <c r="K484" i="40" s="1"/>
  <c r="AH126" i="39"/>
  <c r="J37" i="51" s="1"/>
  <c r="AF16" i="39"/>
  <c r="AH149" i="39"/>
  <c r="J79" i="51" s="1"/>
  <c r="AF253" i="39"/>
  <c r="AH296" i="39"/>
  <c r="J324" i="40" s="1"/>
  <c r="L324" i="40" s="1"/>
  <c r="AH346" i="39"/>
  <c r="J377" i="40" s="1"/>
  <c r="M377" i="40" s="1"/>
  <c r="AH122" i="39"/>
  <c r="J131" i="40" s="1"/>
  <c r="AH186" i="39"/>
  <c r="J203" i="40" s="1"/>
  <c r="AF81" i="39"/>
  <c r="AH428" i="39"/>
  <c r="AH364" i="39"/>
  <c r="AF494" i="39"/>
  <c r="H360" i="50" s="1"/>
  <c r="AH387" i="39"/>
  <c r="AH176" i="39"/>
  <c r="J193" i="40" s="1"/>
  <c r="M193" i="40" s="1"/>
  <c r="AH135" i="39"/>
  <c r="J144" i="40" s="1"/>
  <c r="M144" i="40" s="1"/>
  <c r="AH306" i="39"/>
  <c r="J334" i="40" s="1"/>
  <c r="AH470" i="39"/>
  <c r="J507" i="40" s="1"/>
  <c r="AH404" i="39"/>
  <c r="J438" i="40" s="1"/>
  <c r="K438" i="40" s="1"/>
  <c r="AF35" i="39"/>
  <c r="AH461" i="39"/>
  <c r="J498" i="40" s="1"/>
  <c r="AH141" i="39"/>
  <c r="AH113" i="39"/>
  <c r="J122" i="40" s="1"/>
  <c r="L122" i="40" s="1"/>
  <c r="AF65" i="39"/>
  <c r="H66" i="40" s="1"/>
  <c r="I66" i="40" s="1"/>
  <c r="E15" i="52" s="1"/>
  <c r="K15" i="52" s="1"/>
  <c r="AH120" i="39"/>
  <c r="J129" i="40" s="1"/>
  <c r="L129" i="40" s="1"/>
  <c r="AH355" i="39"/>
  <c r="AH422" i="39"/>
  <c r="AH353" i="39"/>
  <c r="J384" i="40" s="1"/>
  <c r="L384" i="40" s="1"/>
  <c r="AH421" i="39"/>
  <c r="AH462" i="39"/>
  <c r="J499" i="40" s="1"/>
  <c r="L499" i="40" s="1"/>
  <c r="AH388" i="39"/>
  <c r="AF56" i="39"/>
  <c r="H57" i="40" s="1"/>
  <c r="I57" i="40" s="1"/>
  <c r="E14" i="52" s="1"/>
  <c r="K14" i="52" s="1"/>
  <c r="AH183" i="39"/>
  <c r="J200" i="40" s="1"/>
  <c r="AH188" i="39"/>
  <c r="AH454" i="39"/>
  <c r="J491" i="40" s="1"/>
  <c r="AF75" i="39"/>
  <c r="H76" i="40" s="1"/>
  <c r="I76" i="40" s="1"/>
  <c r="F21" i="17" s="1"/>
  <c r="L21" i="17" s="1"/>
  <c r="AH348" i="39"/>
  <c r="J379" i="40" s="1"/>
  <c r="AH115" i="39"/>
  <c r="J124" i="40" s="1"/>
  <c r="M124" i="40" s="1"/>
  <c r="AH407" i="39"/>
  <c r="J441" i="40" s="1"/>
  <c r="L441" i="40" s="1"/>
  <c r="AH321" i="39"/>
  <c r="J170" i="51" s="1"/>
  <c r="AH117" i="39"/>
  <c r="J126" i="40" s="1"/>
  <c r="AF79" i="39"/>
  <c r="H80" i="40" s="1"/>
  <c r="I80" i="40" s="1"/>
  <c r="AH289" i="39"/>
  <c r="J317" i="40" s="1"/>
  <c r="K317" i="40" s="1"/>
  <c r="AF275" i="39"/>
  <c r="AH285" i="39"/>
  <c r="J313" i="40" s="1"/>
  <c r="M313" i="40" s="1"/>
  <c r="AH105" i="39"/>
  <c r="J114" i="40" s="1"/>
  <c r="AH402" i="39"/>
  <c r="J436" i="40" s="1"/>
  <c r="K436" i="40" s="1"/>
  <c r="AF82" i="39"/>
  <c r="H83" i="40" s="1"/>
  <c r="I83" i="40" s="1"/>
  <c r="AF40" i="39"/>
  <c r="H41" i="40" s="1"/>
  <c r="I41" i="40" s="1"/>
  <c r="AF51" i="39"/>
  <c r="AH311" i="39"/>
  <c r="AH336" i="39"/>
  <c r="J183" i="51" s="1"/>
  <c r="AH371" i="39"/>
  <c r="AH451" i="39"/>
  <c r="J488" i="40" s="1"/>
  <c r="K488" i="40" s="1"/>
  <c r="AH457" i="39"/>
  <c r="J297" i="51" s="1"/>
  <c r="AH375" i="39"/>
  <c r="J205" i="51" s="1"/>
  <c r="AH303" i="39"/>
  <c r="J331" i="40" s="1"/>
  <c r="AH343" i="39"/>
  <c r="J374" i="40" s="1"/>
  <c r="AH137" i="39"/>
  <c r="AH177" i="39"/>
  <c r="J194" i="40" s="1"/>
  <c r="L194" i="40" s="1"/>
  <c r="L179" i="40" s="1"/>
  <c r="AF39" i="39"/>
  <c r="H40" i="40" s="1"/>
  <c r="I40" i="40" s="1"/>
  <c r="AH337" i="39"/>
  <c r="J184" i="51" s="1"/>
  <c r="AH362" i="39"/>
  <c r="J393" i="40" s="1"/>
  <c r="K393" i="40" s="1"/>
  <c r="AH110" i="39"/>
  <c r="J24" i="51" s="1"/>
  <c r="AF254" i="39"/>
  <c r="AH374" i="39"/>
  <c r="J204" i="51" s="1"/>
  <c r="AF50" i="39"/>
  <c r="AH292" i="39"/>
  <c r="J320" i="40" s="1"/>
  <c r="AH132" i="39"/>
  <c r="AF41" i="39"/>
  <c r="H42" i="40" s="1"/>
  <c r="I42" i="40" s="1"/>
  <c r="AH468" i="39"/>
  <c r="J505" i="40" s="1"/>
  <c r="M505" i="40" s="1"/>
  <c r="AH99" i="39"/>
  <c r="J108" i="40" s="1"/>
  <c r="AH192" i="39"/>
  <c r="AH139" i="39"/>
  <c r="J148" i="40" s="1"/>
  <c r="AH392" i="39"/>
  <c r="J426" i="40" s="1"/>
  <c r="AH315" i="39"/>
  <c r="J163" i="51" s="1"/>
  <c r="AF80" i="39"/>
  <c r="AH403" i="39"/>
  <c r="J437" i="40" s="1"/>
  <c r="K437" i="40" s="1"/>
  <c r="AF255" i="39"/>
  <c r="H246" i="50" s="1"/>
  <c r="I246" i="50" s="1"/>
  <c r="AH446" i="39"/>
  <c r="J483" i="40" s="1"/>
  <c r="AH420" i="39"/>
  <c r="J454" i="40" s="1"/>
  <c r="AH357" i="39"/>
  <c r="AF252" i="39"/>
  <c r="AH314" i="39"/>
  <c r="J162" i="51" s="1"/>
  <c r="AF26" i="39"/>
  <c r="H27" i="40" s="1"/>
  <c r="AH340" i="39"/>
  <c r="AF240" i="39"/>
  <c r="H265" i="40" s="1"/>
  <c r="I265" i="40" s="1"/>
  <c r="AF28" i="39"/>
  <c r="H29" i="40" s="1"/>
  <c r="F28" i="52" s="1"/>
  <c r="AF30" i="39"/>
  <c r="AH164" i="39"/>
  <c r="J181" i="40" s="1"/>
  <c r="L181" i="40" s="1"/>
  <c r="AF59" i="39"/>
  <c r="H60" i="40" s="1"/>
  <c r="I60" i="40" s="1"/>
  <c r="AH154" i="39"/>
  <c r="AF64" i="39"/>
  <c r="AH475" i="39"/>
  <c r="J512" i="40" s="1"/>
  <c r="AH127" i="39"/>
  <c r="J136" i="40" s="1"/>
  <c r="AH391" i="39"/>
  <c r="J425" i="40" s="1"/>
  <c r="K425" i="40" s="1"/>
  <c r="AH352" i="39"/>
  <c r="J383" i="40" s="1"/>
  <c r="AH471" i="39"/>
  <c r="J508" i="40" s="1"/>
  <c r="AH442" i="39"/>
  <c r="AH167" i="39"/>
  <c r="J184" i="40" s="1"/>
  <c r="K184" i="40" s="1"/>
  <c r="AH453" i="39"/>
  <c r="J490" i="40" s="1"/>
  <c r="AH363" i="39"/>
  <c r="J394" i="40" s="1"/>
  <c r="M394" i="40" s="1"/>
  <c r="AF61" i="39"/>
  <c r="H45" i="50" s="1"/>
  <c r="I45" i="50" s="1"/>
  <c r="AH145" i="39"/>
  <c r="AH112" i="39"/>
  <c r="J121" i="40" s="1"/>
  <c r="AH425" i="39"/>
  <c r="AH310" i="39"/>
  <c r="AH97" i="39"/>
  <c r="J106" i="40" s="1"/>
  <c r="AH444" i="39"/>
  <c r="AF262" i="39"/>
  <c r="H253" i="50" s="1"/>
  <c r="AF229" i="39"/>
  <c r="H254" i="40" s="1"/>
  <c r="I254" i="40" s="1"/>
  <c r="AH308" i="39"/>
  <c r="J336" i="40" s="1"/>
  <c r="L336" i="40" s="1"/>
  <c r="AF18" i="39"/>
  <c r="AH347" i="39"/>
  <c r="J378" i="40" s="1"/>
  <c r="M378" i="40" s="1"/>
  <c r="AF217" i="39"/>
  <c r="H193" i="50" s="1"/>
  <c r="AH476" i="39"/>
  <c r="AH482" i="39"/>
  <c r="J519" i="40" s="1"/>
  <c r="K519" i="40" s="1"/>
  <c r="AF53" i="39"/>
  <c r="H54" i="40" s="1"/>
  <c r="I54" i="40" s="1"/>
  <c r="AF42" i="39"/>
  <c r="H43" i="40" s="1"/>
  <c r="I43" i="40" s="1"/>
  <c r="AH406" i="39"/>
  <c r="J440" i="40" s="1"/>
  <c r="L440" i="40" s="1"/>
  <c r="AH400" i="39"/>
  <c r="J434" i="40" s="1"/>
  <c r="AH483" i="39"/>
  <c r="J520" i="40" s="1"/>
  <c r="L520" i="40" s="1"/>
  <c r="AH163" i="39"/>
  <c r="J180" i="40" s="1"/>
  <c r="AH408" i="39"/>
  <c r="J442" i="40" s="1"/>
  <c r="AH128" i="39"/>
  <c r="AH480" i="39"/>
  <c r="J517" i="40" s="1"/>
  <c r="L517" i="40" s="1"/>
  <c r="AF62" i="39"/>
  <c r="H58" i="50" s="1"/>
  <c r="I58" i="50" s="1"/>
  <c r="AH143" i="39"/>
  <c r="AF245" i="39"/>
  <c r="AH101" i="39"/>
  <c r="J110" i="40" s="1"/>
  <c r="AH398" i="39"/>
  <c r="AH417" i="39"/>
  <c r="J451" i="40" s="1"/>
  <c r="L451" i="40" s="1"/>
  <c r="AH450" i="39"/>
  <c r="J487" i="40" s="1"/>
  <c r="AH279" i="39"/>
  <c r="J307" i="40" s="1"/>
  <c r="AH368" i="39"/>
  <c r="J399" i="40" s="1"/>
  <c r="AH441" i="39"/>
  <c r="J292" i="51" s="1"/>
  <c r="AF259" i="39"/>
  <c r="AH111" i="39"/>
  <c r="J25" i="51" s="1"/>
  <c r="AF20" i="39"/>
  <c r="H21" i="50" s="1"/>
  <c r="I21" i="50" s="1"/>
  <c r="AH302" i="39"/>
  <c r="AF73" i="39"/>
  <c r="H74" i="40" s="1"/>
  <c r="I74" i="40" s="1"/>
  <c r="AH297" i="39"/>
  <c r="J325" i="40" s="1"/>
  <c r="K325" i="40" s="1"/>
  <c r="AH286" i="39"/>
  <c r="J314" i="40" s="1"/>
  <c r="M314" i="40" s="1"/>
  <c r="AH197" i="39"/>
  <c r="J130" i="51" s="1"/>
  <c r="AF493" i="39"/>
  <c r="AH409" i="39"/>
  <c r="J443" i="40" s="1"/>
  <c r="AF250" i="39"/>
  <c r="AF248" i="39"/>
  <c r="H273" i="40" s="1"/>
  <c r="I273" i="40" s="1"/>
  <c r="AH325" i="39"/>
  <c r="J353" i="40" s="1"/>
  <c r="AF238" i="39"/>
  <c r="H228" i="50" s="1"/>
  <c r="AH467" i="39"/>
  <c r="J302" i="51" s="1"/>
  <c r="AF265" i="39"/>
  <c r="AH390" i="39"/>
  <c r="J424" i="40" s="1"/>
  <c r="AH124" i="39"/>
  <c r="AH174" i="39"/>
  <c r="J191" i="40" s="1"/>
  <c r="AF69" i="39"/>
  <c r="H70" i="40" s="1"/>
  <c r="I70" i="40" s="1"/>
  <c r="AF17" i="39"/>
  <c r="AH440" i="39"/>
  <c r="J291" i="51" s="1"/>
  <c r="AH175" i="39"/>
  <c r="J192" i="40" s="1"/>
  <c r="L192" i="40" s="1"/>
  <c r="L177" i="40" s="1"/>
  <c r="AH173" i="39"/>
  <c r="J190" i="40" s="1"/>
  <c r="M190" i="40" s="1"/>
  <c r="M175" i="40" s="1"/>
  <c r="AF490" i="39"/>
  <c r="AH322" i="39"/>
  <c r="J171" i="51" s="1"/>
  <c r="AH323" i="39"/>
  <c r="J173" i="51" s="1"/>
  <c r="AF242" i="39"/>
  <c r="H267" i="40" s="1"/>
  <c r="I267" i="40" s="1"/>
  <c r="AH455" i="39"/>
  <c r="J492" i="40" s="1"/>
  <c r="M492" i="40" s="1"/>
  <c r="AF213" i="39"/>
  <c r="H238" i="40" s="1"/>
  <c r="I238" i="40" s="1"/>
  <c r="J28" i="26"/>
  <c r="P5" i="39" s="1"/>
  <c r="M374" i="40"/>
  <c r="K374" i="40"/>
  <c r="L374" i="40"/>
  <c r="L124" i="40"/>
  <c r="J218" i="51"/>
  <c r="J421" i="40"/>
  <c r="J329" i="40"/>
  <c r="J155" i="51"/>
  <c r="J40" i="51"/>
  <c r="J138" i="40"/>
  <c r="H72" i="40"/>
  <c r="I72" i="40" s="1"/>
  <c r="H68" i="50"/>
  <c r="I68" i="50" s="1"/>
  <c r="K373" i="40"/>
  <c r="L373" i="40"/>
  <c r="M373" i="40"/>
  <c r="L149" i="40"/>
  <c r="M149" i="40"/>
  <c r="K149" i="40"/>
  <c r="H33" i="40"/>
  <c r="I33" i="40" s="1"/>
  <c r="H252" i="50"/>
  <c r="I252" i="50" s="1"/>
  <c r="H286" i="40"/>
  <c r="I286" i="40" s="1"/>
  <c r="J398" i="40"/>
  <c r="J196" i="51"/>
  <c r="J206" i="51"/>
  <c r="J22" i="51"/>
  <c r="J117" i="40"/>
  <c r="J122" i="51"/>
  <c r="J207" i="40"/>
  <c r="J341" i="40"/>
  <c r="L327" i="40"/>
  <c r="M327" i="40"/>
  <c r="K327" i="40"/>
  <c r="J409" i="40"/>
  <c r="J210" i="51"/>
  <c r="H15" i="40"/>
  <c r="I15" i="40" s="1"/>
  <c r="J21" i="51"/>
  <c r="J116" i="40"/>
  <c r="H534" i="40"/>
  <c r="I534" i="40" s="1"/>
  <c r="H361" i="50"/>
  <c r="I361" i="50" s="1"/>
  <c r="K323" i="40"/>
  <c r="L323" i="40"/>
  <c r="M323" i="40"/>
  <c r="J125" i="51"/>
  <c r="J210" i="40"/>
  <c r="J294" i="51"/>
  <c r="J480" i="40"/>
  <c r="L312" i="40"/>
  <c r="J103" i="51"/>
  <c r="J301" i="51"/>
  <c r="J395" i="40"/>
  <c r="J193" i="51"/>
  <c r="H45" i="40"/>
  <c r="H30" i="50"/>
  <c r="K427" i="40"/>
  <c r="M427" i="40"/>
  <c r="M372" i="40"/>
  <c r="K372" i="40"/>
  <c r="L372" i="40"/>
  <c r="K196" i="40"/>
  <c r="L196" i="40"/>
  <c r="M196" i="40"/>
  <c r="J78" i="51"/>
  <c r="J157" i="40"/>
  <c r="L183" i="40"/>
  <c r="K183" i="40"/>
  <c r="M183" i="40"/>
  <c r="H211" i="50"/>
  <c r="H251" i="40"/>
  <c r="I251" i="40" s="1"/>
  <c r="J420" i="40"/>
  <c r="J217" i="51"/>
  <c r="H20" i="40"/>
  <c r="I20" i="40" s="1"/>
  <c r="H20" i="50"/>
  <c r="I20" i="50" s="1"/>
  <c r="J510" i="40"/>
  <c r="J308" i="51"/>
  <c r="J304" i="51"/>
  <c r="J506" i="40"/>
  <c r="J408" i="40"/>
  <c r="H187" i="50"/>
  <c r="H186" i="50"/>
  <c r="H236" i="40"/>
  <c r="H190" i="50"/>
  <c r="I190" i="50" s="1"/>
  <c r="H239" i="40"/>
  <c r="I239" i="40" s="1"/>
  <c r="J215" i="40"/>
  <c r="J131" i="51"/>
  <c r="J160" i="51"/>
  <c r="J340" i="40"/>
  <c r="K197" i="40"/>
  <c r="L197" i="40"/>
  <c r="M197" i="40"/>
  <c r="J168" i="51"/>
  <c r="J347" i="40"/>
  <c r="J198" i="51"/>
  <c r="J400" i="40"/>
  <c r="J406" i="40"/>
  <c r="L114" i="40"/>
  <c r="K114" i="40"/>
  <c r="M114" i="40"/>
  <c r="L438" i="40"/>
  <c r="J32" i="51"/>
  <c r="J135" i="40"/>
  <c r="L482" i="40"/>
  <c r="K482" i="40"/>
  <c r="M482" i="40"/>
  <c r="H31" i="50"/>
  <c r="I31" i="50" s="1"/>
  <c r="H46" i="40"/>
  <c r="I46" i="40" s="1"/>
  <c r="H223" i="50"/>
  <c r="I223" i="50" s="1"/>
  <c r="H258" i="40"/>
  <c r="I258" i="40" s="1"/>
  <c r="K431" i="40"/>
  <c r="M431" i="40"/>
  <c r="L431" i="40"/>
  <c r="M448" i="40"/>
  <c r="J150" i="51"/>
  <c r="J308" i="40"/>
  <c r="M187" i="40"/>
  <c r="K187" i="40"/>
  <c r="L187" i="40"/>
  <c r="J461" i="40"/>
  <c r="J238" i="51"/>
  <c r="L115" i="40"/>
  <c r="K115" i="40"/>
  <c r="J233" i="51"/>
  <c r="J457" i="40"/>
  <c r="J458" i="40"/>
  <c r="J234" i="51"/>
  <c r="L111" i="40"/>
  <c r="M111" i="40"/>
  <c r="K111" i="40"/>
  <c r="K202" i="40"/>
  <c r="L202" i="40"/>
  <c r="M202" i="40"/>
  <c r="H14" i="40"/>
  <c r="I14" i="40" s="1"/>
  <c r="H14" i="50"/>
  <c r="I14" i="50" s="1"/>
  <c r="J36" i="51"/>
  <c r="M435" i="40"/>
  <c r="K435" i="40"/>
  <c r="H23" i="40"/>
  <c r="I23" i="40" s="1"/>
  <c r="H23" i="50"/>
  <c r="I23" i="50" s="1"/>
  <c r="K185" i="40"/>
  <c r="M185" i="40"/>
  <c r="L185" i="40"/>
  <c r="K439" i="40"/>
  <c r="M439" i="40"/>
  <c r="L439" i="40"/>
  <c r="M317" i="40"/>
  <c r="L317" i="40"/>
  <c r="J205" i="40"/>
  <c r="J111" i="51"/>
  <c r="J48" i="51"/>
  <c r="J150" i="40"/>
  <c r="J239" i="51"/>
  <c r="J462" i="40"/>
  <c r="H17" i="50"/>
  <c r="I17" i="50" s="1"/>
  <c r="H17" i="40"/>
  <c r="I17" i="40" s="1"/>
  <c r="H56" i="40"/>
  <c r="I56" i="40" s="1"/>
  <c r="E13" i="52" s="1"/>
  <c r="H42" i="50"/>
  <c r="H260" i="40"/>
  <c r="I260" i="40" s="1"/>
  <c r="K195" i="40"/>
  <c r="M195" i="40"/>
  <c r="L195" i="40"/>
  <c r="K433" i="40"/>
  <c r="L433" i="40"/>
  <c r="M433" i="40"/>
  <c r="J169" i="51"/>
  <c r="J348" i="40"/>
  <c r="H47" i="40"/>
  <c r="I47" i="40" s="1"/>
  <c r="H32" i="50"/>
  <c r="I32" i="50" s="1"/>
  <c r="J23" i="51"/>
  <c r="J118" i="40"/>
  <c r="L188" i="40"/>
  <c r="K493" i="40"/>
  <c r="M493" i="40"/>
  <c r="L493" i="40"/>
  <c r="J309" i="40"/>
  <c r="J151" i="51"/>
  <c r="J319" i="51"/>
  <c r="J521" i="40"/>
  <c r="J206" i="40"/>
  <c r="J121" i="51"/>
  <c r="H226" i="50"/>
  <c r="I226" i="50" s="1"/>
  <c r="H261" i="40"/>
  <c r="I261" i="40" s="1"/>
  <c r="J309" i="51"/>
  <c r="J511" i="40"/>
  <c r="M182" i="40"/>
  <c r="K182" i="40"/>
  <c r="L182" i="40"/>
  <c r="J128" i="51"/>
  <c r="J213" i="40"/>
  <c r="H191" i="50"/>
  <c r="I191" i="50" s="1"/>
  <c r="H240" i="40"/>
  <c r="I240" i="40" s="1"/>
  <c r="H242" i="50"/>
  <c r="H276" i="40"/>
  <c r="I276" i="40" s="1"/>
  <c r="K491" i="40"/>
  <c r="L491" i="40"/>
  <c r="M491" i="40"/>
  <c r="J49" i="51"/>
  <c r="J151" i="40"/>
  <c r="M500" i="40"/>
  <c r="J191" i="51"/>
  <c r="J387" i="40"/>
  <c r="H67" i="50"/>
  <c r="I67" i="50" s="1"/>
  <c r="I66" i="50" s="1"/>
  <c r="H71" i="40"/>
  <c r="I71" i="40" s="1"/>
  <c r="J17" i="51"/>
  <c r="J105" i="40"/>
  <c r="H74" i="50"/>
  <c r="H79" i="40"/>
  <c r="H48" i="40"/>
  <c r="I48" i="40" s="1"/>
  <c r="H194" i="50"/>
  <c r="I194" i="50" s="1"/>
  <c r="H243" i="40"/>
  <c r="I243" i="40" s="1"/>
  <c r="H50" i="40"/>
  <c r="I50" i="40" s="1"/>
  <c r="F15" i="17" s="1"/>
  <c r="L15" i="17" s="1"/>
  <c r="H36" i="50"/>
  <c r="I36" i="50" s="1"/>
  <c r="K109" i="40"/>
  <c r="K311" i="40"/>
  <c r="M311" i="40"/>
  <c r="L311" i="40"/>
  <c r="J370" i="40"/>
  <c r="J186" i="51"/>
  <c r="H241" i="40"/>
  <c r="I241" i="40" s="1"/>
  <c r="H192" i="50"/>
  <c r="I192" i="50" s="1"/>
  <c r="M428" i="40"/>
  <c r="L428" i="40"/>
  <c r="K428" i="40"/>
  <c r="H67" i="40"/>
  <c r="I67" i="40" s="1"/>
  <c r="H62" i="50"/>
  <c r="I62" i="50" s="1"/>
  <c r="J202" i="51"/>
  <c r="J403" i="40"/>
  <c r="J217" i="40"/>
  <c r="L161" i="40"/>
  <c r="J102" i="51"/>
  <c r="J199" i="40"/>
  <c r="J298" i="51"/>
  <c r="J495" i="40"/>
  <c r="H195" i="50"/>
  <c r="I195" i="50" s="1"/>
  <c r="H244" i="40"/>
  <c r="I244" i="40" s="1"/>
  <c r="M189" i="40"/>
  <c r="K189" i="40"/>
  <c r="L189" i="40"/>
  <c r="J157" i="51"/>
  <c r="M21" i="17"/>
  <c r="N21" i="17" s="1"/>
  <c r="M122" i="40"/>
  <c r="H533" i="40"/>
  <c r="J300" i="51"/>
  <c r="J497" i="40"/>
  <c r="H65" i="50"/>
  <c r="H69" i="40"/>
  <c r="I69" i="40" s="1"/>
  <c r="M20" i="17"/>
  <c r="N20" i="17" s="1"/>
  <c r="M391" i="40"/>
  <c r="K391" i="40"/>
  <c r="L391" i="40"/>
  <c r="H58" i="40"/>
  <c r="I58" i="40" s="1"/>
  <c r="H44" i="50"/>
  <c r="I44" i="50" s="1"/>
  <c r="J77" i="51"/>
  <c r="J156" i="40"/>
  <c r="M337" i="40"/>
  <c r="L337" i="40"/>
  <c r="K337" i="40"/>
  <c r="K186" i="40"/>
  <c r="L186" i="40"/>
  <c r="M186" i="40"/>
  <c r="K466" i="40"/>
  <c r="M466" i="40"/>
  <c r="L466" i="40"/>
  <c r="J385" i="40"/>
  <c r="L333" i="40"/>
  <c r="K333" i="40"/>
  <c r="M333" i="40"/>
  <c r="J404" i="40"/>
  <c r="J203" i="51"/>
  <c r="K204" i="40"/>
  <c r="M204" i="40"/>
  <c r="J160" i="40"/>
  <c r="J81" i="51"/>
  <c r="H234" i="50"/>
  <c r="I234" i="50" s="1"/>
  <c r="H269" i="40"/>
  <c r="I269" i="40" s="1"/>
  <c r="K128" i="40"/>
  <c r="L128" i="40"/>
  <c r="M128" i="40"/>
  <c r="J135" i="51"/>
  <c r="J219" i="40"/>
  <c r="J460" i="40"/>
  <c r="J237" i="51"/>
  <c r="L112" i="40"/>
  <c r="M112" i="40"/>
  <c r="K112" i="40"/>
  <c r="E30" i="26"/>
  <c r="H30" i="26"/>
  <c r="I30" i="26" s="1"/>
  <c r="J201" i="51"/>
  <c r="J402" i="40"/>
  <c r="K126" i="40"/>
  <c r="L126" i="40"/>
  <c r="M126" i="40"/>
  <c r="J219" i="51"/>
  <c r="J422" i="40"/>
  <c r="M334" i="40"/>
  <c r="K334" i="40"/>
  <c r="L334" i="40"/>
  <c r="H266" i="40"/>
  <c r="I266" i="40" s="1"/>
  <c r="H231" i="50"/>
  <c r="I231" i="50" s="1"/>
  <c r="J293" i="51"/>
  <c r="J479" i="40"/>
  <c r="J351" i="40"/>
  <c r="H529" i="40"/>
  <c r="I529" i="40" s="1"/>
  <c r="H356" i="50"/>
  <c r="I356" i="50" s="1"/>
  <c r="M192" i="40"/>
  <c r="M177" i="40" s="1"/>
  <c r="H18" i="50"/>
  <c r="I18" i="50" s="1"/>
  <c r="H18" i="40"/>
  <c r="I18" i="40" s="1"/>
  <c r="M191" i="40"/>
  <c r="L191" i="40"/>
  <c r="K191" i="40"/>
  <c r="J34" i="51"/>
  <c r="J133" i="40"/>
  <c r="J221" i="51"/>
  <c r="H290" i="40"/>
  <c r="I290" i="40" s="1"/>
  <c r="H256" i="50"/>
  <c r="I256" i="50" s="1"/>
  <c r="K353" i="40"/>
  <c r="M353" i="40"/>
  <c r="L353" i="40"/>
  <c r="H275" i="40"/>
  <c r="I275" i="40" s="1"/>
  <c r="H240" i="50"/>
  <c r="I240" i="50" s="1"/>
  <c r="J224" i="51"/>
  <c r="H359" i="50"/>
  <c r="I359" i="50" s="1"/>
  <c r="H532" i="40"/>
  <c r="I532" i="40" s="1"/>
  <c r="L325" i="40"/>
  <c r="M325" i="40"/>
  <c r="H70" i="50"/>
  <c r="I70" i="50" s="1"/>
  <c r="J330" i="40"/>
  <c r="J156" i="51"/>
  <c r="H284" i="40"/>
  <c r="H250" i="50"/>
  <c r="J227" i="51"/>
  <c r="J446" i="40"/>
  <c r="K441" i="40"/>
  <c r="M441" i="40"/>
  <c r="J190" i="51"/>
  <c r="J386" i="40"/>
  <c r="H77" i="50"/>
  <c r="H82" i="40"/>
  <c r="L484" i="40"/>
  <c r="K487" i="40"/>
  <c r="M487" i="40"/>
  <c r="L487" i="40"/>
  <c r="J306" i="51"/>
  <c r="J222" i="51"/>
  <c r="J432" i="40"/>
  <c r="M110" i="40"/>
  <c r="L110" i="40"/>
  <c r="K110" i="40"/>
  <c r="H270" i="40"/>
  <c r="I270" i="40" s="1"/>
  <c r="H235" i="50"/>
  <c r="I235" i="50" s="1"/>
  <c r="J50" i="51"/>
  <c r="J152" i="40"/>
  <c r="J39" i="51"/>
  <c r="J137" i="40"/>
  <c r="M180" i="40"/>
  <c r="L180" i="40"/>
  <c r="K180" i="40"/>
  <c r="M520" i="40"/>
  <c r="M434" i="40"/>
  <c r="L434" i="40"/>
  <c r="K434" i="40"/>
  <c r="L519" i="40"/>
  <c r="M519" i="40"/>
  <c r="J513" i="40"/>
  <c r="J312" i="51"/>
  <c r="H19" i="50"/>
  <c r="H19" i="40"/>
  <c r="I19" i="40" s="1"/>
  <c r="H287" i="40"/>
  <c r="J481" i="40"/>
  <c r="J295" i="51"/>
  <c r="J18" i="51"/>
  <c r="J338" i="40"/>
  <c r="J158" i="51"/>
  <c r="J459" i="40"/>
  <c r="J235" i="51"/>
  <c r="J51" i="51"/>
  <c r="J154" i="40"/>
  <c r="J146" i="40"/>
  <c r="J46" i="51"/>
  <c r="H52" i="40"/>
  <c r="I52" i="40" s="1"/>
  <c r="H38" i="50"/>
  <c r="I38" i="50" s="1"/>
  <c r="K193" i="40"/>
  <c r="H244" i="50"/>
  <c r="I244" i="50" s="1"/>
  <c r="H278" i="40"/>
  <c r="I278" i="40" s="1"/>
  <c r="J346" i="40"/>
  <c r="J167" i="51"/>
  <c r="K383" i="40"/>
  <c r="M383" i="40"/>
  <c r="L383" i="40"/>
  <c r="L425" i="40"/>
  <c r="J311" i="51"/>
  <c r="H65" i="40"/>
  <c r="I65" i="40" s="1"/>
  <c r="H60" i="50"/>
  <c r="I60" i="50" s="1"/>
  <c r="J163" i="40"/>
  <c r="J86" i="51"/>
  <c r="H24" i="50"/>
  <c r="I24" i="50" s="1"/>
  <c r="H31" i="40"/>
  <c r="J371" i="40"/>
  <c r="J187" i="51"/>
  <c r="F27" i="52"/>
  <c r="I27" i="40"/>
  <c r="J342" i="40"/>
  <c r="H243" i="50"/>
  <c r="I243" i="50" s="1"/>
  <c r="H277" i="40"/>
  <c r="I277" i="40" s="1"/>
  <c r="J388" i="40"/>
  <c r="J192" i="51"/>
  <c r="L483" i="40"/>
  <c r="M483" i="40"/>
  <c r="K483" i="40"/>
  <c r="H76" i="50"/>
  <c r="I76" i="50" s="1"/>
  <c r="H81" i="40"/>
  <c r="I81" i="40" s="1"/>
  <c r="M426" i="40"/>
  <c r="K426" i="40"/>
  <c r="L426" i="40"/>
  <c r="M148" i="40"/>
  <c r="K148" i="40"/>
  <c r="L148" i="40"/>
  <c r="J124" i="51"/>
  <c r="J209" i="40"/>
  <c r="L505" i="40"/>
  <c r="J141" i="40"/>
  <c r="J41" i="51"/>
  <c r="K320" i="40"/>
  <c r="L320" i="40"/>
  <c r="M320" i="40"/>
  <c r="H51" i="40"/>
  <c r="I51" i="40" s="1"/>
  <c r="H37" i="50"/>
  <c r="I37" i="50" s="1"/>
  <c r="H279" i="40"/>
  <c r="I279" i="40" s="1"/>
  <c r="H245" i="50"/>
  <c r="I245" i="50" s="1"/>
  <c r="J159" i="51"/>
  <c r="J339" i="40"/>
  <c r="H43" i="50"/>
  <c r="I43" i="50" s="1"/>
  <c r="H29" i="50"/>
  <c r="I29" i="50" s="1"/>
  <c r="H36" i="40"/>
  <c r="I36" i="40" s="1"/>
  <c r="M203" i="40"/>
  <c r="L203" i="40"/>
  <c r="K203" i="40"/>
  <c r="H252" i="40"/>
  <c r="I252" i="40" s="1"/>
  <c r="H212" i="50"/>
  <c r="I212" i="50" s="1"/>
  <c r="E29" i="26"/>
  <c r="I29" i="26" s="1"/>
  <c r="H29" i="26"/>
  <c r="L490" i="40"/>
  <c r="M490" i="40"/>
  <c r="K490" i="40"/>
  <c r="J310" i="40"/>
  <c r="J152" i="51"/>
  <c r="L503" i="40"/>
  <c r="M503" i="40"/>
  <c r="K503" i="40"/>
  <c r="H535" i="40"/>
  <c r="I535" i="40" s="1"/>
  <c r="H362" i="50"/>
  <c r="I362" i="50" s="1"/>
  <c r="J315" i="51"/>
  <c r="J516" i="40"/>
  <c r="H55" i="40"/>
  <c r="I55" i="40" s="1"/>
  <c r="E12" i="52" s="1"/>
  <c r="K12" i="52" s="1"/>
  <c r="H40" i="50"/>
  <c r="I40" i="50" s="1"/>
  <c r="J455" i="40"/>
  <c r="J231" i="51"/>
  <c r="J397" i="40"/>
  <c r="J195" i="51"/>
  <c r="H254" i="50"/>
  <c r="I254" i="50" s="1"/>
  <c r="H288" i="40"/>
  <c r="I288" i="40" s="1"/>
  <c r="K326" i="40"/>
  <c r="M326" i="40"/>
  <c r="L326" i="40"/>
  <c r="J518" i="40"/>
  <c r="J318" i="51"/>
  <c r="J464" i="40"/>
  <c r="J136" i="51"/>
  <c r="J220" i="40"/>
  <c r="L201" i="40"/>
  <c r="J232" i="51"/>
  <c r="J456" i="40"/>
  <c r="J453" i="40"/>
  <c r="J229" i="51"/>
  <c r="I236" i="40" l="1"/>
  <c r="I231" i="40"/>
  <c r="K124" i="40"/>
  <c r="K143" i="40"/>
  <c r="K336" i="40"/>
  <c r="H35" i="40"/>
  <c r="I35" i="40" s="1"/>
  <c r="L488" i="40"/>
  <c r="H69" i="50"/>
  <c r="I69" i="50" s="1"/>
  <c r="J444" i="40"/>
  <c r="M444" i="40" s="1"/>
  <c r="K384" i="40"/>
  <c r="J230" i="51"/>
  <c r="L230" i="51" s="1"/>
  <c r="M143" i="40"/>
  <c r="J26" i="51"/>
  <c r="K520" i="40"/>
  <c r="J120" i="40"/>
  <c r="K492" i="40"/>
  <c r="H251" i="50"/>
  <c r="I251" i="50" s="1"/>
  <c r="M438" i="40"/>
  <c r="M384" i="40"/>
  <c r="H242" i="40"/>
  <c r="I242" i="40" s="1"/>
  <c r="H21" i="40"/>
  <c r="I21" i="40" s="1"/>
  <c r="L492" i="40"/>
  <c r="M502" i="40"/>
  <c r="L313" i="40"/>
  <c r="H281" i="40"/>
  <c r="I281" i="40" s="1"/>
  <c r="J47" i="51"/>
  <c r="L47" i="51" s="1"/>
  <c r="M321" i="40"/>
  <c r="K502" i="40"/>
  <c r="K313" i="40"/>
  <c r="H79" i="50"/>
  <c r="I79" i="50" s="1"/>
  <c r="J158" i="40"/>
  <c r="J305" i="51"/>
  <c r="K321" i="40"/>
  <c r="K140" i="40"/>
  <c r="F32" i="17" s="1"/>
  <c r="J132" i="40"/>
  <c r="L140" i="40"/>
  <c r="J223" i="51"/>
  <c r="K500" i="40"/>
  <c r="K188" i="40"/>
  <c r="H246" i="40"/>
  <c r="I246" i="40" s="1"/>
  <c r="M499" i="40"/>
  <c r="M437" i="40"/>
  <c r="M336" i="40"/>
  <c r="J452" i="40"/>
  <c r="M488" i="40"/>
  <c r="J509" i="40"/>
  <c r="K499" i="40"/>
  <c r="J405" i="40"/>
  <c r="M405" i="40" s="1"/>
  <c r="M517" i="40"/>
  <c r="L437" i="40"/>
  <c r="K378" i="40"/>
  <c r="L485" i="40"/>
  <c r="L390" i="40"/>
  <c r="J119" i="40"/>
  <c r="I29" i="40"/>
  <c r="L378" i="40"/>
  <c r="H263" i="40"/>
  <c r="I263" i="40" s="1"/>
  <c r="J211" i="40"/>
  <c r="K390" i="40"/>
  <c r="J478" i="40"/>
  <c r="K478" i="40" s="1"/>
  <c r="L190" i="40"/>
  <c r="L175" i="40" s="1"/>
  <c r="M184" i="40"/>
  <c r="J212" i="40"/>
  <c r="L212" i="40" s="1"/>
  <c r="K485" i="40"/>
  <c r="J514" i="40"/>
  <c r="L184" i="40"/>
  <c r="J367" i="40"/>
  <c r="H75" i="50"/>
  <c r="I75" i="50" s="1"/>
  <c r="J343" i="40"/>
  <c r="K343" i="40" s="1"/>
  <c r="M181" i="40"/>
  <c r="K394" i="40"/>
  <c r="M324" i="40"/>
  <c r="L447" i="40"/>
  <c r="J314" i="51"/>
  <c r="K314" i="51" s="1"/>
  <c r="K181" i="40"/>
  <c r="L394" i="40"/>
  <c r="J350" i="40"/>
  <c r="K324" i="40"/>
  <c r="M447" i="40"/>
  <c r="I242" i="50"/>
  <c r="K505" i="40"/>
  <c r="J38" i="51"/>
  <c r="K201" i="40"/>
  <c r="H189" i="50"/>
  <c r="I189" i="50" s="1"/>
  <c r="I187" i="50" s="1"/>
  <c r="H280" i="40"/>
  <c r="I280" i="40" s="1"/>
  <c r="H230" i="50"/>
  <c r="I230" i="50" s="1"/>
  <c r="J349" i="40"/>
  <c r="K349" i="40" s="1"/>
  <c r="H62" i="40"/>
  <c r="I62" i="40" s="1"/>
  <c r="H215" i="50"/>
  <c r="I215" i="50" s="1"/>
  <c r="H39" i="50"/>
  <c r="I39" i="50" s="1"/>
  <c r="K517" i="40"/>
  <c r="J504" i="40"/>
  <c r="K192" i="40"/>
  <c r="K177" i="40" s="1"/>
  <c r="L377" i="40"/>
  <c r="J145" i="40"/>
  <c r="L145" i="40" s="1"/>
  <c r="L153" i="40"/>
  <c r="K122" i="40"/>
  <c r="H63" i="50"/>
  <c r="I63" i="50" s="1"/>
  <c r="L109" i="40"/>
  <c r="J185" i="51"/>
  <c r="J345" i="40"/>
  <c r="M345" i="40" s="1"/>
  <c r="J134" i="51"/>
  <c r="L375" i="40"/>
  <c r="L430" i="40"/>
  <c r="L448" i="40"/>
  <c r="J401" i="40"/>
  <c r="J194" i="51"/>
  <c r="K430" i="40"/>
  <c r="K314" i="40"/>
  <c r="K153" i="40"/>
  <c r="H85" i="40"/>
  <c r="I85" i="40" s="1"/>
  <c r="L144" i="40"/>
  <c r="J165" i="51"/>
  <c r="J368" i="40"/>
  <c r="H262" i="40"/>
  <c r="I262" i="40" s="1"/>
  <c r="L393" i="40"/>
  <c r="H25" i="50"/>
  <c r="I25" i="50" s="1"/>
  <c r="H63" i="40"/>
  <c r="I63" i="40" s="1"/>
  <c r="F16" i="17" s="1"/>
  <c r="L16" i="17" s="1"/>
  <c r="M16" i="17" s="1"/>
  <c r="N16" i="17" s="1"/>
  <c r="L314" i="40"/>
  <c r="K190" i="40"/>
  <c r="K175" i="40" s="1"/>
  <c r="H232" i="50"/>
  <c r="I232" i="50" s="1"/>
  <c r="J149" i="51"/>
  <c r="M149" i="51" s="1"/>
  <c r="K377" i="40"/>
  <c r="H245" i="40"/>
  <c r="I245" i="40" s="1"/>
  <c r="L127" i="40"/>
  <c r="L123" i="40"/>
  <c r="K144" i="40"/>
  <c r="E105" i="52" s="1"/>
  <c r="K105" i="52" s="1"/>
  <c r="J494" i="40"/>
  <c r="L494" i="40" s="1"/>
  <c r="K381" i="40"/>
  <c r="J306" i="40"/>
  <c r="J463" i="40"/>
  <c r="H72" i="50"/>
  <c r="I72" i="50" s="1"/>
  <c r="H78" i="50"/>
  <c r="I78" i="50" s="1"/>
  <c r="K312" i="40"/>
  <c r="M393" i="40"/>
  <c r="M375" i="40"/>
  <c r="J328" i="40"/>
  <c r="J496" i="40"/>
  <c r="J197" i="51"/>
  <c r="H229" i="50"/>
  <c r="I229" i="50" s="1"/>
  <c r="H34" i="40"/>
  <c r="I34" i="40" s="1"/>
  <c r="I9" i="40" s="1"/>
  <c r="M436" i="40"/>
  <c r="M127" i="40"/>
  <c r="J220" i="51"/>
  <c r="M220" i="51" s="1"/>
  <c r="M125" i="40"/>
  <c r="K123" i="40"/>
  <c r="L381" i="40"/>
  <c r="H233" i="50"/>
  <c r="J216" i="40"/>
  <c r="L193" i="40"/>
  <c r="M484" i="40"/>
  <c r="J477" i="40"/>
  <c r="L436" i="40"/>
  <c r="L125" i="40"/>
  <c r="H357" i="50"/>
  <c r="H188" i="50"/>
  <c r="I188" i="50" s="1"/>
  <c r="I186" i="50" s="1"/>
  <c r="I182" i="50" s="1"/>
  <c r="H224" i="50"/>
  <c r="I224" i="50" s="1"/>
  <c r="H61" i="50"/>
  <c r="I61" i="50" s="1"/>
  <c r="Q5" i="39"/>
  <c r="J29" i="26"/>
  <c r="H16" i="50"/>
  <c r="I16" i="50" s="1"/>
  <c r="I12" i="50" s="1"/>
  <c r="K451" i="40"/>
  <c r="K316" i="40"/>
  <c r="K113" i="40"/>
  <c r="J159" i="40"/>
  <c r="L159" i="40" s="1"/>
  <c r="L465" i="40"/>
  <c r="M425" i="40"/>
  <c r="L316" i="40"/>
  <c r="M113" i="40"/>
  <c r="M440" i="40"/>
  <c r="J214" i="40"/>
  <c r="K214" i="40" s="1"/>
  <c r="H66" i="50"/>
  <c r="K161" i="40"/>
  <c r="L450" i="40"/>
  <c r="M194" i="40"/>
  <c r="M179" i="40" s="1"/>
  <c r="M129" i="40"/>
  <c r="K440" i="40"/>
  <c r="H255" i="50"/>
  <c r="I255" i="50" s="1"/>
  <c r="I253" i="50" s="1"/>
  <c r="K450" i="40"/>
  <c r="K194" i="40"/>
  <c r="K179" i="40" s="1"/>
  <c r="K129" i="40"/>
  <c r="H248" i="50"/>
  <c r="I248" i="50" s="1"/>
  <c r="H213" i="50"/>
  <c r="I213" i="50" s="1"/>
  <c r="I287" i="40"/>
  <c r="J19" i="51"/>
  <c r="L19" i="51" s="1"/>
  <c r="J30" i="26"/>
  <c r="R5" i="39" s="1"/>
  <c r="J445" i="40"/>
  <c r="H271" i="40"/>
  <c r="I271" i="40" s="1"/>
  <c r="K139" i="40"/>
  <c r="F31" i="17" s="1"/>
  <c r="L31" i="17" s="1"/>
  <c r="H22" i="40"/>
  <c r="I22" i="40" s="1"/>
  <c r="L139" i="40"/>
  <c r="J489" i="40"/>
  <c r="K489" i="40" s="1"/>
  <c r="J188" i="51"/>
  <c r="K188" i="51" s="1"/>
  <c r="J20" i="51"/>
  <c r="K20" i="51" s="1"/>
  <c r="M451" i="40"/>
  <c r="H531" i="40"/>
  <c r="I531" i="40" s="1"/>
  <c r="K465" i="40"/>
  <c r="I250" i="50"/>
  <c r="I284" i="40"/>
  <c r="I355" i="50"/>
  <c r="I365" i="50" s="1"/>
  <c r="I41" i="50"/>
  <c r="M455" i="40"/>
  <c r="K455" i="40"/>
  <c r="L455" i="40"/>
  <c r="K121" i="51"/>
  <c r="L121" i="51"/>
  <c r="M121" i="51"/>
  <c r="M131" i="40"/>
  <c r="L131" i="40"/>
  <c r="K131" i="40"/>
  <c r="M218" i="51"/>
  <c r="L218" i="51"/>
  <c r="K218" i="51"/>
  <c r="K230" i="51"/>
  <c r="L170" i="51"/>
  <c r="M170" i="51"/>
  <c r="K170" i="51"/>
  <c r="L51" i="51"/>
  <c r="K51" i="51"/>
  <c r="M51" i="51"/>
  <c r="K432" i="40"/>
  <c r="M432" i="40"/>
  <c r="L432" i="40"/>
  <c r="L446" i="40"/>
  <c r="K446" i="40"/>
  <c r="M446" i="40"/>
  <c r="F19" i="17"/>
  <c r="L19" i="17" s="1"/>
  <c r="L173" i="51"/>
  <c r="L172" i="51" s="1"/>
  <c r="K173" i="51"/>
  <c r="K172" i="51" s="1"/>
  <c r="M173" i="51"/>
  <c r="M172" i="51" s="1"/>
  <c r="L422" i="40"/>
  <c r="K422" i="40"/>
  <c r="M422" i="40"/>
  <c r="I65" i="50"/>
  <c r="K309" i="51"/>
  <c r="L309" i="51"/>
  <c r="M309" i="51"/>
  <c r="M206" i="40"/>
  <c r="L206" i="40"/>
  <c r="K206" i="40"/>
  <c r="K348" i="40"/>
  <c r="M348" i="40"/>
  <c r="L348" i="40"/>
  <c r="I12" i="40"/>
  <c r="L32" i="51"/>
  <c r="K32" i="51"/>
  <c r="M32" i="51"/>
  <c r="L198" i="51"/>
  <c r="M198" i="51"/>
  <c r="K198" i="51"/>
  <c r="K157" i="40"/>
  <c r="L157" i="40"/>
  <c r="M157" i="40"/>
  <c r="L210" i="51"/>
  <c r="L209" i="51" s="1"/>
  <c r="K210" i="51"/>
  <c r="K209" i="51" s="1"/>
  <c r="M210" i="51"/>
  <c r="M209" i="51" s="1"/>
  <c r="L127" i="51"/>
  <c r="M127" i="51"/>
  <c r="K127" i="51"/>
  <c r="L312" i="51"/>
  <c r="K312" i="51"/>
  <c r="M312" i="51"/>
  <c r="K222" i="51"/>
  <c r="L222" i="51"/>
  <c r="M222" i="51"/>
  <c r="K227" i="51"/>
  <c r="L227" i="51"/>
  <c r="M227" i="51"/>
  <c r="K443" i="40"/>
  <c r="L443" i="40"/>
  <c r="M443" i="40"/>
  <c r="L424" i="40"/>
  <c r="K424" i="40"/>
  <c r="M424" i="40"/>
  <c r="L351" i="40"/>
  <c r="M351" i="40"/>
  <c r="K351" i="40"/>
  <c r="L219" i="51"/>
  <c r="K219" i="51"/>
  <c r="M219" i="51"/>
  <c r="L497" i="40"/>
  <c r="M497" i="40"/>
  <c r="K497" i="40"/>
  <c r="K133" i="51"/>
  <c r="M133" i="51"/>
  <c r="L133" i="51"/>
  <c r="M387" i="40"/>
  <c r="L387" i="40"/>
  <c r="K387" i="40"/>
  <c r="M297" i="51"/>
  <c r="K297" i="51"/>
  <c r="L297" i="51"/>
  <c r="M369" i="40"/>
  <c r="K369" i="40"/>
  <c r="L369" i="40"/>
  <c r="K345" i="40"/>
  <c r="M169" i="51"/>
  <c r="K169" i="51"/>
  <c r="L169" i="51"/>
  <c r="M347" i="40"/>
  <c r="L347" i="40"/>
  <c r="K347" i="40"/>
  <c r="K78" i="51"/>
  <c r="L78" i="51"/>
  <c r="M78" i="51"/>
  <c r="L409" i="40"/>
  <c r="L408" i="40" s="1"/>
  <c r="Q70" i="17" s="1"/>
  <c r="W70" i="17" s="1"/>
  <c r="M409" i="40"/>
  <c r="M408" i="40" s="1"/>
  <c r="AB70" i="17" s="1"/>
  <c r="AH70" i="17" s="1"/>
  <c r="K409" i="40"/>
  <c r="L206" i="51"/>
  <c r="M206" i="51"/>
  <c r="K206" i="51"/>
  <c r="L15" i="52"/>
  <c r="M15" i="52" s="1"/>
  <c r="K330" i="40"/>
  <c r="L330" i="40"/>
  <c r="M330" i="40"/>
  <c r="K511" i="40"/>
  <c r="M511" i="40"/>
  <c r="L511" i="40"/>
  <c r="L220" i="40"/>
  <c r="K220" i="40"/>
  <c r="M220" i="40"/>
  <c r="L163" i="51"/>
  <c r="K163" i="51"/>
  <c r="M163" i="51"/>
  <c r="L167" i="51"/>
  <c r="M167" i="51"/>
  <c r="K167" i="51"/>
  <c r="M460" i="40"/>
  <c r="L460" i="40"/>
  <c r="K460" i="40"/>
  <c r="L156" i="40"/>
  <c r="M156" i="40"/>
  <c r="K156" i="40"/>
  <c r="M300" i="51"/>
  <c r="L300" i="51"/>
  <c r="K300" i="51"/>
  <c r="L217" i="40"/>
  <c r="M217" i="40"/>
  <c r="K217" i="40"/>
  <c r="L191" i="51"/>
  <c r="M191" i="51"/>
  <c r="K191" i="51"/>
  <c r="M185" i="51"/>
  <c r="L185" i="51"/>
  <c r="K185" i="51"/>
  <c r="M166" i="51"/>
  <c r="K166" i="51"/>
  <c r="L166" i="51"/>
  <c r="F62" i="17"/>
  <c r="L62" i="17" s="1"/>
  <c r="E369" i="52"/>
  <c r="K369" i="52" s="1"/>
  <c r="L462" i="40"/>
  <c r="M462" i="40"/>
  <c r="K462" i="40"/>
  <c r="M168" i="51"/>
  <c r="K168" i="51"/>
  <c r="L168" i="51"/>
  <c r="M132" i="40"/>
  <c r="K132" i="40"/>
  <c r="L132" i="40"/>
  <c r="K19" i="51"/>
  <c r="M19" i="51"/>
  <c r="M407" i="40"/>
  <c r="K407" i="40"/>
  <c r="L407" i="40"/>
  <c r="M24" i="51"/>
  <c r="M9" i="51" s="1"/>
  <c r="K24" i="51"/>
  <c r="K9" i="51" s="1"/>
  <c r="L24" i="51"/>
  <c r="L9" i="51" s="1"/>
  <c r="K38" i="51"/>
  <c r="L38" i="51"/>
  <c r="M38" i="51"/>
  <c r="M235" i="51"/>
  <c r="K235" i="51"/>
  <c r="L235" i="51"/>
  <c r="K292" i="51"/>
  <c r="M292" i="51"/>
  <c r="L292" i="51"/>
  <c r="L133" i="40"/>
  <c r="M133" i="40"/>
  <c r="K133" i="40"/>
  <c r="K219" i="40"/>
  <c r="M219" i="40"/>
  <c r="L219" i="40"/>
  <c r="K385" i="40"/>
  <c r="L385" i="40"/>
  <c r="M385" i="40"/>
  <c r="K77" i="51"/>
  <c r="L77" i="51"/>
  <c r="M77" i="51"/>
  <c r="L445" i="40"/>
  <c r="M445" i="40"/>
  <c r="K445" i="40"/>
  <c r="K239" i="51"/>
  <c r="M239" i="51"/>
  <c r="L239" i="51"/>
  <c r="M344" i="40"/>
  <c r="L344" i="40"/>
  <c r="K344" i="40"/>
  <c r="M33" i="51"/>
  <c r="L33" i="51"/>
  <c r="K33" i="51"/>
  <c r="M240" i="51"/>
  <c r="K240" i="51"/>
  <c r="L240" i="51"/>
  <c r="M225" i="51"/>
  <c r="L225" i="51"/>
  <c r="K225" i="51"/>
  <c r="L107" i="40"/>
  <c r="K107" i="40"/>
  <c r="M107" i="40"/>
  <c r="L138" i="40"/>
  <c r="K138" i="40"/>
  <c r="M138" i="40"/>
  <c r="M453" i="40"/>
  <c r="L453" i="40"/>
  <c r="K453" i="40"/>
  <c r="L14" i="52"/>
  <c r="M14" i="52" s="1"/>
  <c r="L456" i="40"/>
  <c r="M456" i="40"/>
  <c r="K456" i="40"/>
  <c r="K209" i="40"/>
  <c r="M209" i="40"/>
  <c r="L209" i="40"/>
  <c r="I31" i="40"/>
  <c r="F29" i="52"/>
  <c r="M136" i="40"/>
  <c r="L136" i="40"/>
  <c r="K136" i="40"/>
  <c r="E365" i="52"/>
  <c r="K365" i="52" s="1"/>
  <c r="F58" i="17"/>
  <c r="L58" i="17" s="1"/>
  <c r="K46" i="51"/>
  <c r="K43" i="51" s="1"/>
  <c r="K42" i="51" s="1"/>
  <c r="M46" i="51"/>
  <c r="M43" i="51" s="1"/>
  <c r="M42" i="51" s="1"/>
  <c r="L46" i="51"/>
  <c r="L43" i="51" s="1"/>
  <c r="L42" i="51" s="1"/>
  <c r="L459" i="40"/>
  <c r="K459" i="40"/>
  <c r="M459" i="40"/>
  <c r="L34" i="51"/>
  <c r="M34" i="51"/>
  <c r="K34" i="51"/>
  <c r="K479" i="40"/>
  <c r="L479" i="40"/>
  <c r="M479" i="40"/>
  <c r="L135" i="51"/>
  <c r="M135" i="51"/>
  <c r="K135" i="51"/>
  <c r="K189" i="51"/>
  <c r="M189" i="51"/>
  <c r="L189" i="51"/>
  <c r="M186" i="51"/>
  <c r="L186" i="51"/>
  <c r="K186" i="51"/>
  <c r="M226" i="51"/>
  <c r="K226" i="51"/>
  <c r="L226" i="51"/>
  <c r="M150" i="40"/>
  <c r="K150" i="40"/>
  <c r="L150" i="40"/>
  <c r="M308" i="40"/>
  <c r="K308" i="40"/>
  <c r="L308" i="40"/>
  <c r="M188" i="51"/>
  <c r="L188" i="51"/>
  <c r="L131" i="51"/>
  <c r="M131" i="51"/>
  <c r="K131" i="51"/>
  <c r="L463" i="40"/>
  <c r="M463" i="40"/>
  <c r="K463" i="40"/>
  <c r="L193" i="51"/>
  <c r="K193" i="51"/>
  <c r="M193" i="51"/>
  <c r="L116" i="40"/>
  <c r="K116" i="40"/>
  <c r="M116" i="40"/>
  <c r="E18" i="52"/>
  <c r="F22" i="17"/>
  <c r="L22" i="17" s="1"/>
  <c r="L40" i="51"/>
  <c r="K40" i="51"/>
  <c r="M40" i="51"/>
  <c r="L399" i="40"/>
  <c r="M399" i="40"/>
  <c r="K399" i="40"/>
  <c r="M512" i="40"/>
  <c r="L512" i="40"/>
  <c r="K512" i="40"/>
  <c r="M192" i="51"/>
  <c r="L192" i="51"/>
  <c r="K192" i="51"/>
  <c r="M221" i="51"/>
  <c r="L221" i="51"/>
  <c r="K221" i="51"/>
  <c r="K119" i="40"/>
  <c r="K101" i="40" s="1"/>
  <c r="L119" i="40"/>
  <c r="L101" i="40" s="1"/>
  <c r="R29" i="17" s="1"/>
  <c r="R26" i="17" s="1"/>
  <c r="M119" i="40"/>
  <c r="M101" i="40" s="1"/>
  <c r="L204" i="51"/>
  <c r="K204" i="51"/>
  <c r="M204" i="51"/>
  <c r="K108" i="40"/>
  <c r="M108" i="40"/>
  <c r="L108" i="40"/>
  <c r="K388" i="40"/>
  <c r="M388" i="40"/>
  <c r="L388" i="40"/>
  <c r="L346" i="40"/>
  <c r="M346" i="40"/>
  <c r="K346" i="40"/>
  <c r="L514" i="40"/>
  <c r="M514" i="40"/>
  <c r="K514" i="40"/>
  <c r="M516" i="40"/>
  <c r="K516" i="40"/>
  <c r="L516" i="40"/>
  <c r="K232" i="51"/>
  <c r="M232" i="51"/>
  <c r="L232" i="51"/>
  <c r="M313" i="51"/>
  <c r="L313" i="51"/>
  <c r="K313" i="51"/>
  <c r="M315" i="51"/>
  <c r="L315" i="51"/>
  <c r="K315" i="51"/>
  <c r="I74" i="50"/>
  <c r="L124" i="51"/>
  <c r="M124" i="51"/>
  <c r="K124" i="51"/>
  <c r="I241" i="50"/>
  <c r="K146" i="40"/>
  <c r="L146" i="40"/>
  <c r="M146" i="40"/>
  <c r="K158" i="51"/>
  <c r="M158" i="51"/>
  <c r="L158" i="51"/>
  <c r="K152" i="40"/>
  <c r="L152" i="40"/>
  <c r="M152" i="40"/>
  <c r="K508" i="40"/>
  <c r="M508" i="40"/>
  <c r="L508" i="40"/>
  <c r="K507" i="40"/>
  <c r="M507" i="40"/>
  <c r="L507" i="40"/>
  <c r="M293" i="51"/>
  <c r="K293" i="51"/>
  <c r="L293" i="51"/>
  <c r="K402" i="40"/>
  <c r="L402" i="40"/>
  <c r="M402" i="40"/>
  <c r="M370" i="40"/>
  <c r="K370" i="40"/>
  <c r="L370" i="40"/>
  <c r="L296" i="51"/>
  <c r="M296" i="51"/>
  <c r="K296" i="51"/>
  <c r="L150" i="51"/>
  <c r="K150" i="51"/>
  <c r="M150" i="51"/>
  <c r="M379" i="40"/>
  <c r="K379" i="40"/>
  <c r="L379" i="40"/>
  <c r="M215" i="40"/>
  <c r="K215" i="40"/>
  <c r="L215" i="40"/>
  <c r="K506" i="40"/>
  <c r="M506" i="40"/>
  <c r="L506" i="40"/>
  <c r="M396" i="40"/>
  <c r="L396" i="40"/>
  <c r="K396" i="40"/>
  <c r="L395" i="40"/>
  <c r="K395" i="40"/>
  <c r="M395" i="40"/>
  <c r="L480" i="40"/>
  <c r="K480" i="40"/>
  <c r="M480" i="40"/>
  <c r="K21" i="51"/>
  <c r="M21" i="51"/>
  <c r="L21" i="51"/>
  <c r="M341" i="40"/>
  <c r="L341" i="40"/>
  <c r="K341" i="40"/>
  <c r="M196" i="51"/>
  <c r="L196" i="51"/>
  <c r="K196" i="51"/>
  <c r="I82" i="40"/>
  <c r="M39" i="51"/>
  <c r="K39" i="51"/>
  <c r="L39" i="51"/>
  <c r="K171" i="51"/>
  <c r="M171" i="51"/>
  <c r="L171" i="51"/>
  <c r="K13" i="52"/>
  <c r="L454" i="40"/>
  <c r="K454" i="40"/>
  <c r="M454" i="40"/>
  <c r="L154" i="51"/>
  <c r="M154" i="51"/>
  <c r="K154" i="51"/>
  <c r="L496" i="40"/>
  <c r="M496" i="40"/>
  <c r="K496" i="40"/>
  <c r="I79" i="40"/>
  <c r="I78" i="40" s="1"/>
  <c r="K162" i="51"/>
  <c r="L162" i="51"/>
  <c r="M162" i="51"/>
  <c r="L338" i="40"/>
  <c r="M338" i="40"/>
  <c r="K338" i="40"/>
  <c r="K50" i="51"/>
  <c r="M50" i="51"/>
  <c r="L50" i="51"/>
  <c r="L306" i="51"/>
  <c r="M306" i="51"/>
  <c r="K306" i="51"/>
  <c r="M305" i="51"/>
  <c r="L305" i="51"/>
  <c r="K305" i="51"/>
  <c r="L25" i="51"/>
  <c r="K25" i="51"/>
  <c r="M25" i="51"/>
  <c r="L201" i="51"/>
  <c r="K201" i="51"/>
  <c r="M201" i="51"/>
  <c r="K331" i="40"/>
  <c r="L331" i="40"/>
  <c r="M331" i="40"/>
  <c r="K495" i="40"/>
  <c r="L495" i="40"/>
  <c r="M495" i="40"/>
  <c r="L423" i="40"/>
  <c r="M423" i="40"/>
  <c r="K423" i="40"/>
  <c r="M213" i="40"/>
  <c r="K213" i="40"/>
  <c r="L213" i="40"/>
  <c r="L32" i="17"/>
  <c r="Q32" i="17"/>
  <c r="W32" i="17" s="1"/>
  <c r="K521" i="40"/>
  <c r="M521" i="40"/>
  <c r="M518" i="40" s="1"/>
  <c r="AB78" i="17" s="1"/>
  <c r="AH78" i="17" s="1"/>
  <c r="L521" i="40"/>
  <c r="L518" i="40" s="1"/>
  <c r="Q78" i="17" s="1"/>
  <c r="W78" i="17" s="1"/>
  <c r="K218" i="40"/>
  <c r="M218" i="40"/>
  <c r="L218" i="40"/>
  <c r="L111" i="51"/>
  <c r="K111" i="51"/>
  <c r="M111" i="51"/>
  <c r="L134" i="40"/>
  <c r="M134" i="40"/>
  <c r="K134" i="40"/>
  <c r="E368" i="52"/>
  <c r="K368" i="52" s="1"/>
  <c r="F61" i="17"/>
  <c r="L61" i="17" s="1"/>
  <c r="M340" i="40"/>
  <c r="K340" i="40"/>
  <c r="L340" i="40"/>
  <c r="M509" i="40"/>
  <c r="K509" i="40"/>
  <c r="L509" i="40"/>
  <c r="M304" i="51"/>
  <c r="K304" i="51"/>
  <c r="L304" i="51"/>
  <c r="M498" i="40"/>
  <c r="L498" i="40"/>
  <c r="K498" i="40"/>
  <c r="L294" i="51"/>
  <c r="K294" i="51"/>
  <c r="M294" i="51"/>
  <c r="M216" i="40"/>
  <c r="K216" i="40"/>
  <c r="L216" i="40"/>
  <c r="K161" i="51"/>
  <c r="L161" i="51"/>
  <c r="M161" i="51"/>
  <c r="K398" i="40"/>
  <c r="L398" i="40"/>
  <c r="M398" i="40"/>
  <c r="F54" i="17"/>
  <c r="L54" i="17" s="1"/>
  <c r="E361" i="52"/>
  <c r="K361" i="52" s="1"/>
  <c r="I77" i="50"/>
  <c r="L371" i="40"/>
  <c r="K371" i="40"/>
  <c r="M371" i="40"/>
  <c r="K328" i="40"/>
  <c r="L328" i="40"/>
  <c r="M328" i="40"/>
  <c r="K121" i="40"/>
  <c r="K103" i="40" s="1"/>
  <c r="L121" i="40"/>
  <c r="L103" i="40" s="1"/>
  <c r="R30" i="17" s="1"/>
  <c r="R27" i="17" s="1"/>
  <c r="M121" i="40"/>
  <c r="M103" i="40" s="1"/>
  <c r="M299" i="51"/>
  <c r="L299" i="51"/>
  <c r="K299" i="51"/>
  <c r="K339" i="40"/>
  <c r="L339" i="40"/>
  <c r="M339" i="40"/>
  <c r="E367" i="52"/>
  <c r="K367" i="52" s="1"/>
  <c r="F60" i="17"/>
  <c r="L60" i="17" s="1"/>
  <c r="M342" i="40"/>
  <c r="K342" i="40"/>
  <c r="L342" i="40"/>
  <c r="M18" i="51"/>
  <c r="K18" i="51"/>
  <c r="L18" i="51"/>
  <c r="L386" i="40"/>
  <c r="M386" i="40"/>
  <c r="K386" i="40"/>
  <c r="M120" i="40"/>
  <c r="K120" i="40"/>
  <c r="L120" i="40"/>
  <c r="L157" i="51"/>
  <c r="K157" i="51"/>
  <c r="M157" i="51"/>
  <c r="L403" i="40"/>
  <c r="M403" i="40"/>
  <c r="K403" i="40"/>
  <c r="L128" i="51"/>
  <c r="M128" i="51"/>
  <c r="K128" i="51"/>
  <c r="M319" i="51"/>
  <c r="M318" i="51" s="1"/>
  <c r="L319" i="51"/>
  <c r="L318" i="51" s="1"/>
  <c r="K319" i="51"/>
  <c r="K318" i="51" s="1"/>
  <c r="M134" i="51"/>
  <c r="K134" i="51"/>
  <c r="L134" i="51"/>
  <c r="K205" i="40"/>
  <c r="L205" i="40"/>
  <c r="M205" i="40"/>
  <c r="M234" i="51"/>
  <c r="K234" i="51"/>
  <c r="L234" i="51"/>
  <c r="M160" i="51"/>
  <c r="K160" i="51"/>
  <c r="L160" i="51"/>
  <c r="L307" i="51"/>
  <c r="M307" i="51"/>
  <c r="K307" i="51"/>
  <c r="K308" i="51"/>
  <c r="L308" i="51"/>
  <c r="M308" i="51"/>
  <c r="M301" i="51"/>
  <c r="K301" i="51"/>
  <c r="L301" i="51"/>
  <c r="K210" i="40"/>
  <c r="M210" i="40"/>
  <c r="L210" i="40"/>
  <c r="L132" i="51"/>
  <c r="M132" i="51"/>
  <c r="K132" i="51"/>
  <c r="K207" i="40"/>
  <c r="M207" i="40"/>
  <c r="L207" i="40"/>
  <c r="K147" i="40"/>
  <c r="M147" i="40"/>
  <c r="L147" i="40"/>
  <c r="L160" i="40"/>
  <c r="M160" i="40"/>
  <c r="K160" i="40"/>
  <c r="L26" i="51"/>
  <c r="L11" i="51" s="1"/>
  <c r="K26" i="51"/>
  <c r="K11" i="51" s="1"/>
  <c r="M26" i="51"/>
  <c r="M11" i="51" s="1"/>
  <c r="E364" i="52"/>
  <c r="K364" i="52" s="1"/>
  <c r="F57" i="17"/>
  <c r="L57" i="17" s="1"/>
  <c r="M203" i="51"/>
  <c r="L203" i="51"/>
  <c r="K203" i="51"/>
  <c r="K199" i="40"/>
  <c r="M199" i="40"/>
  <c r="L199" i="40"/>
  <c r="M202" i="51"/>
  <c r="K202" i="51"/>
  <c r="L202" i="51"/>
  <c r="K452" i="40"/>
  <c r="L452" i="40"/>
  <c r="M452" i="40"/>
  <c r="L151" i="40"/>
  <c r="K151" i="40"/>
  <c r="M151" i="40"/>
  <c r="M151" i="51"/>
  <c r="K151" i="51"/>
  <c r="L151" i="51"/>
  <c r="M118" i="40"/>
  <c r="K118" i="40"/>
  <c r="L118" i="40"/>
  <c r="L458" i="40"/>
  <c r="M458" i="40"/>
  <c r="K458" i="40"/>
  <c r="M238" i="51"/>
  <c r="M237" i="51" s="1"/>
  <c r="L238" i="51"/>
  <c r="K238" i="51"/>
  <c r="M80" i="51"/>
  <c r="K80" i="51"/>
  <c r="L80" i="51"/>
  <c r="M401" i="40"/>
  <c r="L401" i="40"/>
  <c r="K401" i="40"/>
  <c r="L510" i="40"/>
  <c r="K510" i="40"/>
  <c r="M510" i="40"/>
  <c r="L515" i="40"/>
  <c r="K515" i="40"/>
  <c r="M515" i="40"/>
  <c r="M103" i="51"/>
  <c r="L103" i="51"/>
  <c r="K103" i="51"/>
  <c r="L125" i="51"/>
  <c r="K125" i="51"/>
  <c r="M125" i="51"/>
  <c r="I13" i="50"/>
  <c r="M122" i="51"/>
  <c r="K122" i="51"/>
  <c r="L122" i="51"/>
  <c r="M154" i="40"/>
  <c r="K154" i="40"/>
  <c r="L154" i="40"/>
  <c r="M126" i="51"/>
  <c r="L126" i="51"/>
  <c r="K126" i="51"/>
  <c r="M400" i="40"/>
  <c r="L400" i="40"/>
  <c r="K400" i="40"/>
  <c r="L12" i="52"/>
  <c r="M12" i="52" s="1"/>
  <c r="M158" i="40"/>
  <c r="L158" i="40"/>
  <c r="K158" i="40"/>
  <c r="L178" i="40"/>
  <c r="Q43" i="17" s="1"/>
  <c r="L174" i="40"/>
  <c r="Q41" i="17" s="1"/>
  <c r="L176" i="40"/>
  <c r="Q42" i="17" s="1"/>
  <c r="K106" i="40"/>
  <c r="L106" i="40"/>
  <c r="M106" i="40"/>
  <c r="M442" i="40"/>
  <c r="L442" i="40"/>
  <c r="K442" i="40"/>
  <c r="K368" i="40"/>
  <c r="L368" i="40"/>
  <c r="M368" i="40"/>
  <c r="L397" i="40"/>
  <c r="K397" i="40"/>
  <c r="M397" i="40"/>
  <c r="L86" i="51"/>
  <c r="L85" i="51" s="1"/>
  <c r="M86" i="51"/>
  <c r="M85" i="51" s="1"/>
  <c r="K86" i="51"/>
  <c r="K85" i="51" s="1"/>
  <c r="M223" i="51"/>
  <c r="K223" i="51"/>
  <c r="L223" i="51"/>
  <c r="M302" i="51"/>
  <c r="K302" i="51"/>
  <c r="L302" i="51"/>
  <c r="I528" i="40"/>
  <c r="F79" i="17" s="1"/>
  <c r="M307" i="40"/>
  <c r="L307" i="40"/>
  <c r="K307" i="40"/>
  <c r="K404" i="40"/>
  <c r="L404" i="40"/>
  <c r="M404" i="40"/>
  <c r="K102" i="51"/>
  <c r="L102" i="51"/>
  <c r="M102" i="51"/>
  <c r="L228" i="51"/>
  <c r="K228" i="51"/>
  <c r="M228" i="51"/>
  <c r="M105" i="40"/>
  <c r="K105" i="40"/>
  <c r="L105" i="40"/>
  <c r="M49" i="51"/>
  <c r="L49" i="51"/>
  <c r="K49" i="51"/>
  <c r="F56" i="17"/>
  <c r="L56" i="17" s="1"/>
  <c r="E363" i="52"/>
  <c r="K363" i="52" s="1"/>
  <c r="K309" i="40"/>
  <c r="M309" i="40"/>
  <c r="L309" i="40"/>
  <c r="M23" i="51"/>
  <c r="K23" i="51"/>
  <c r="L23" i="51"/>
  <c r="E362" i="52"/>
  <c r="F55" i="17"/>
  <c r="L55" i="17" s="1"/>
  <c r="K457" i="40"/>
  <c r="M457" i="40"/>
  <c r="L457" i="40"/>
  <c r="M461" i="40"/>
  <c r="L461" i="40"/>
  <c r="K461" i="40"/>
  <c r="L37" i="51"/>
  <c r="M37" i="51"/>
  <c r="K37" i="51"/>
  <c r="L205" i="51"/>
  <c r="K205" i="51"/>
  <c r="M205" i="51"/>
  <c r="K200" i="40"/>
  <c r="M200" i="40"/>
  <c r="L200" i="40"/>
  <c r="I7" i="40"/>
  <c r="I11" i="40"/>
  <c r="K117" i="40"/>
  <c r="K99" i="40" s="1"/>
  <c r="M117" i="40"/>
  <c r="M99" i="40" s="1"/>
  <c r="AC28" i="17" s="1"/>
  <c r="AC25" i="17" s="1"/>
  <c r="L117" i="40"/>
  <c r="L99" i="40" s="1"/>
  <c r="R28" i="17" s="1"/>
  <c r="R25" i="17" s="1"/>
  <c r="K329" i="40"/>
  <c r="M329" i="40"/>
  <c r="L329" i="40"/>
  <c r="M15" i="17"/>
  <c r="N15" i="17" s="1"/>
  <c r="M136" i="51"/>
  <c r="K136" i="51"/>
  <c r="L136" i="51"/>
  <c r="K513" i="40"/>
  <c r="L513" i="40"/>
  <c r="M513" i="40"/>
  <c r="L241" i="51"/>
  <c r="K241" i="51"/>
  <c r="M241" i="51"/>
  <c r="K195" i="51"/>
  <c r="M195" i="51"/>
  <c r="L195" i="51"/>
  <c r="L152" i="51"/>
  <c r="K152" i="51"/>
  <c r="M152" i="51"/>
  <c r="K464" i="40"/>
  <c r="M464" i="40"/>
  <c r="L464" i="40"/>
  <c r="K310" i="40"/>
  <c r="L310" i="40"/>
  <c r="M310" i="40"/>
  <c r="K79" i="51"/>
  <c r="L79" i="51"/>
  <c r="M79" i="51"/>
  <c r="K41" i="51"/>
  <c r="L41" i="51"/>
  <c r="M41" i="51"/>
  <c r="K295" i="51"/>
  <c r="L295" i="51"/>
  <c r="M295" i="51"/>
  <c r="M184" i="51"/>
  <c r="K184" i="51"/>
  <c r="L184" i="51"/>
  <c r="K231" i="51"/>
  <c r="M231" i="51"/>
  <c r="L231" i="51"/>
  <c r="K197" i="51"/>
  <c r="M197" i="51"/>
  <c r="L197" i="51"/>
  <c r="M141" i="40"/>
  <c r="K141" i="40"/>
  <c r="F33" i="17" s="1"/>
  <c r="L141" i="40"/>
  <c r="L187" i="51"/>
  <c r="M187" i="51"/>
  <c r="K187" i="51"/>
  <c r="K163" i="40"/>
  <c r="K162" i="40" s="1"/>
  <c r="M163" i="40"/>
  <c r="M162" i="40" s="1"/>
  <c r="AB35" i="17" s="1"/>
  <c r="L163" i="40"/>
  <c r="L162" i="40" s="1"/>
  <c r="M481" i="40"/>
  <c r="L481" i="40"/>
  <c r="K481" i="40"/>
  <c r="K137" i="40"/>
  <c r="L137" i="40"/>
  <c r="M137" i="40"/>
  <c r="M156" i="51"/>
  <c r="K156" i="51"/>
  <c r="L156" i="51"/>
  <c r="M504" i="40"/>
  <c r="L504" i="40"/>
  <c r="K504" i="40"/>
  <c r="L350" i="40"/>
  <c r="M350" i="40"/>
  <c r="K350" i="40"/>
  <c r="L81" i="51"/>
  <c r="M81" i="51"/>
  <c r="K81" i="51"/>
  <c r="K211" i="40"/>
  <c r="M211" i="40"/>
  <c r="L211" i="40"/>
  <c r="M17" i="51"/>
  <c r="K17" i="51"/>
  <c r="L17" i="51"/>
  <c r="L233" i="51"/>
  <c r="K233" i="51"/>
  <c r="M233" i="51"/>
  <c r="K135" i="40"/>
  <c r="L135" i="40"/>
  <c r="M135" i="40"/>
  <c r="M406" i="40"/>
  <c r="K406" i="40"/>
  <c r="L406" i="40"/>
  <c r="L22" i="51"/>
  <c r="L7" i="51" s="1"/>
  <c r="M22" i="51"/>
  <c r="M7" i="51" s="1"/>
  <c r="K22" i="51"/>
  <c r="K7" i="51" s="1"/>
  <c r="K421" i="40"/>
  <c r="M421" i="40"/>
  <c r="L421" i="40"/>
  <c r="I183" i="50" l="1"/>
  <c r="I181" i="50"/>
  <c r="I185" i="50"/>
  <c r="K405" i="40"/>
  <c r="L405" i="40"/>
  <c r="L478" i="40"/>
  <c r="M478" i="40"/>
  <c r="I8" i="40"/>
  <c r="K220" i="51"/>
  <c r="M176" i="40"/>
  <c r="AB42" i="17" s="1"/>
  <c r="M230" i="51"/>
  <c r="L419" i="40"/>
  <c r="Q73" i="17" s="1"/>
  <c r="M102" i="40"/>
  <c r="M100" i="40"/>
  <c r="M98" i="40"/>
  <c r="L102" i="40"/>
  <c r="L100" i="40"/>
  <c r="L98" i="40"/>
  <c r="K98" i="40"/>
  <c r="K102" i="40"/>
  <c r="K100" i="40"/>
  <c r="K159" i="40"/>
  <c r="K178" i="40"/>
  <c r="K174" i="40"/>
  <c r="E264" i="52" s="1"/>
  <c r="M159" i="40"/>
  <c r="M343" i="40"/>
  <c r="I10" i="40"/>
  <c r="L237" i="51"/>
  <c r="K444" i="40"/>
  <c r="K305" i="40"/>
  <c r="L366" i="40"/>
  <c r="Q69" i="17" s="1"/>
  <c r="L343" i="40"/>
  <c r="L444" i="40"/>
  <c r="K366" i="40"/>
  <c r="M366" i="40"/>
  <c r="AB69" i="17" s="1"/>
  <c r="M419" i="40"/>
  <c r="K419" i="40"/>
  <c r="I230" i="40"/>
  <c r="I10" i="50"/>
  <c r="I8" i="50"/>
  <c r="K149" i="51"/>
  <c r="L20" i="51"/>
  <c r="L10" i="51" s="1"/>
  <c r="L149" i="51"/>
  <c r="M20" i="51"/>
  <c r="M47" i="51"/>
  <c r="L345" i="40"/>
  <c r="K47" i="51"/>
  <c r="M174" i="40"/>
  <c r="AB41" i="17" s="1"/>
  <c r="M178" i="40"/>
  <c r="AB43" i="17" s="1"/>
  <c r="L314" i="51"/>
  <c r="M314" i="51"/>
  <c r="K518" i="40"/>
  <c r="M212" i="40"/>
  <c r="M198" i="40" s="1"/>
  <c r="AB47" i="17" s="1"/>
  <c r="AH47" i="17" s="1"/>
  <c r="K176" i="40"/>
  <c r="E265" i="52" s="1"/>
  <c r="K212" i="40"/>
  <c r="M214" i="40"/>
  <c r="L214" i="40"/>
  <c r="M494" i="40"/>
  <c r="M476" i="40" s="1"/>
  <c r="K494" i="40"/>
  <c r="K476" i="40" s="1"/>
  <c r="I283" i="40"/>
  <c r="F63" i="17" s="1"/>
  <c r="L63" i="17" s="1"/>
  <c r="L259" i="51"/>
  <c r="E121" i="52"/>
  <c r="K121" i="52" s="1"/>
  <c r="L121" i="52" s="1"/>
  <c r="M121" i="52" s="1"/>
  <c r="L349" i="40"/>
  <c r="L305" i="40" s="1"/>
  <c r="Q66" i="17" s="1"/>
  <c r="M145" i="40"/>
  <c r="M349" i="40"/>
  <c r="L220" i="51"/>
  <c r="K145" i="40"/>
  <c r="E106" i="52" s="1"/>
  <c r="L165" i="51"/>
  <c r="L164" i="51" s="1"/>
  <c r="L147" i="51" s="1"/>
  <c r="I6" i="50"/>
  <c r="I249" i="50"/>
  <c r="Q31" i="17"/>
  <c r="W31" i="17" s="1"/>
  <c r="X31" i="17" s="1"/>
  <c r="Y31" i="17" s="1"/>
  <c r="L489" i="40"/>
  <c r="M489" i="40"/>
  <c r="AF7" i="39"/>
  <c r="I366" i="50"/>
  <c r="E22" i="52"/>
  <c r="K22" i="52" s="1"/>
  <c r="M76" i="51"/>
  <c r="M75" i="51" s="1"/>
  <c r="K76" i="51"/>
  <c r="K75" i="51" s="1"/>
  <c r="I367" i="50"/>
  <c r="K259" i="51"/>
  <c r="I184" i="50"/>
  <c r="I180" i="50"/>
  <c r="L311" i="51"/>
  <c r="M259" i="51"/>
  <c r="L76" i="51"/>
  <c r="L75" i="51" s="1"/>
  <c r="M236" i="51"/>
  <c r="M257" i="51" s="1"/>
  <c r="M200" i="51"/>
  <c r="M199" i="51" s="1"/>
  <c r="M182" i="51" s="1"/>
  <c r="M130" i="51"/>
  <c r="M129" i="51" s="1"/>
  <c r="K237" i="51"/>
  <c r="K236" i="51" s="1"/>
  <c r="K276" i="51" s="1"/>
  <c r="F59" i="17"/>
  <c r="L59" i="17" s="1"/>
  <c r="E366" i="52"/>
  <c r="K366" i="52" s="1"/>
  <c r="X32" i="17"/>
  <c r="Y32" i="17" s="1"/>
  <c r="F99" i="52"/>
  <c r="G29" i="17"/>
  <c r="G26" i="17" s="1"/>
  <c r="M58" i="17"/>
  <c r="N58" i="17" s="1"/>
  <c r="L33" i="17"/>
  <c r="Q33" i="17"/>
  <c r="W33" i="17" s="1"/>
  <c r="M55" i="17"/>
  <c r="N55" i="17" s="1"/>
  <c r="L236" i="51"/>
  <c r="E107" i="52"/>
  <c r="F34" i="17"/>
  <c r="M32" i="17"/>
  <c r="N32" i="17" s="1"/>
  <c r="L365" i="52"/>
  <c r="M365" i="52" s="1"/>
  <c r="Q28" i="17"/>
  <c r="Q30" i="17"/>
  <c r="Q29" i="17"/>
  <c r="I233" i="40"/>
  <c r="F357" i="52"/>
  <c r="F354" i="52" s="1"/>
  <c r="G51" i="17"/>
  <c r="G48" i="17" s="1"/>
  <c r="K10" i="51"/>
  <c r="K8" i="51"/>
  <c r="K12" i="51"/>
  <c r="K14" i="51"/>
  <c r="K6" i="51"/>
  <c r="W42" i="17"/>
  <c r="K200" i="51"/>
  <c r="K199" i="51" s="1"/>
  <c r="K182" i="51" s="1"/>
  <c r="L13" i="52"/>
  <c r="M13" i="52" s="1"/>
  <c r="I232" i="40"/>
  <c r="F51" i="17"/>
  <c r="E357" i="52"/>
  <c r="P51" i="17"/>
  <c r="E122" i="52"/>
  <c r="K122" i="52" s="1"/>
  <c r="K106" i="52"/>
  <c r="M8" i="51"/>
  <c r="M10" i="51"/>
  <c r="M14" i="51"/>
  <c r="M12" i="51"/>
  <c r="M6" i="51"/>
  <c r="AB28" i="17"/>
  <c r="AB29" i="17"/>
  <c r="W41" i="17"/>
  <c r="M57" i="17"/>
  <c r="N57" i="17" s="1"/>
  <c r="F42" i="17"/>
  <c r="L200" i="51"/>
  <c r="L199" i="51" s="1"/>
  <c r="L182" i="51" s="1"/>
  <c r="I73" i="50"/>
  <c r="M22" i="17"/>
  <c r="N22" i="17" s="1"/>
  <c r="M31" i="17"/>
  <c r="N31" i="17" s="1"/>
  <c r="M19" i="17"/>
  <c r="N19" i="17" s="1"/>
  <c r="F26" i="53"/>
  <c r="F15" i="48"/>
  <c r="F37" i="53"/>
  <c r="E809" i="52"/>
  <c r="I540" i="40"/>
  <c r="I538" i="40"/>
  <c r="I539" i="40"/>
  <c r="W43" i="17"/>
  <c r="I9" i="50"/>
  <c r="I11" i="50"/>
  <c r="I7" i="50"/>
  <c r="L364" i="52"/>
  <c r="M364" i="52" s="1"/>
  <c r="K18" i="52"/>
  <c r="E17" i="52"/>
  <c r="E472" i="52"/>
  <c r="K472" i="52" s="1"/>
  <c r="F70" i="17"/>
  <c r="L70" i="17" s="1"/>
  <c r="K408" i="40"/>
  <c r="M311" i="51"/>
  <c r="F17" i="17"/>
  <c r="L17" i="17" s="1"/>
  <c r="F18" i="17"/>
  <c r="L18" i="17" s="1"/>
  <c r="AH35" i="17"/>
  <c r="AB36" i="17"/>
  <c r="AH36" i="17" s="1"/>
  <c r="G28" i="17"/>
  <c r="G25" i="17" s="1"/>
  <c r="F98" i="52"/>
  <c r="E266" i="52"/>
  <c r="F43" i="17"/>
  <c r="K130" i="51"/>
  <c r="K129" i="51" s="1"/>
  <c r="AI70" i="17"/>
  <c r="AJ70" i="17" s="1"/>
  <c r="K311" i="51"/>
  <c r="K310" i="51" s="1"/>
  <c r="K343" i="51" s="1"/>
  <c r="E29" i="52"/>
  <c r="K29" i="52" s="1"/>
  <c r="E27" i="52"/>
  <c r="K27" i="52" s="1"/>
  <c r="AB34" i="17"/>
  <c r="AH34" i="17" s="1"/>
  <c r="AC30" i="17"/>
  <c r="AC27" i="17" s="1"/>
  <c r="L369" i="52"/>
  <c r="M369" i="52" s="1"/>
  <c r="X70" i="17"/>
  <c r="Y70" i="17" s="1"/>
  <c r="G10" i="17"/>
  <c r="G7" i="17" s="1"/>
  <c r="F8" i="52"/>
  <c r="F5" i="52" s="1"/>
  <c r="F28" i="53"/>
  <c r="L361" i="52"/>
  <c r="M361" i="52" s="1"/>
  <c r="AH41" i="17"/>
  <c r="L130" i="51"/>
  <c r="L129" i="51" s="1"/>
  <c r="M62" i="17"/>
  <c r="N62" i="17" s="1"/>
  <c r="E28" i="52"/>
  <c r="K28" i="52" s="1"/>
  <c r="L14" i="51"/>
  <c r="L8" i="51"/>
  <c r="K362" i="52"/>
  <c r="E360" i="52"/>
  <c r="K360" i="52" s="1"/>
  <c r="G12" i="17"/>
  <c r="G9" i="17" s="1"/>
  <c r="F10" i="52"/>
  <c r="F7" i="52" s="1"/>
  <c r="F9" i="52"/>
  <c r="F6" i="52" s="1"/>
  <c r="G11" i="17"/>
  <c r="G8" i="17" s="1"/>
  <c r="L363" i="52"/>
  <c r="M363" i="52" s="1"/>
  <c r="L198" i="40"/>
  <c r="Q47" i="17" s="1"/>
  <c r="W47" i="17" s="1"/>
  <c r="M331" i="51"/>
  <c r="M330" i="51"/>
  <c r="F100" i="52"/>
  <c r="G30" i="17"/>
  <c r="G27" i="17" s="1"/>
  <c r="M54" i="17"/>
  <c r="N54" i="17" s="1"/>
  <c r="X78" i="17"/>
  <c r="Y78" i="17" s="1"/>
  <c r="AH43" i="17"/>
  <c r="M56" i="17"/>
  <c r="N56" i="17" s="1"/>
  <c r="L331" i="51"/>
  <c r="L330" i="51"/>
  <c r="M60" i="17"/>
  <c r="N60" i="17" s="1"/>
  <c r="M61" i="17"/>
  <c r="N61" i="17" s="1"/>
  <c r="AI78" i="17"/>
  <c r="AJ78" i="17" s="1"/>
  <c r="AH42" i="17"/>
  <c r="AB32" i="17"/>
  <c r="AH32" i="17" s="1"/>
  <c r="AC29" i="17"/>
  <c r="AC26" i="17" s="1"/>
  <c r="K165" i="51"/>
  <c r="K164" i="51" s="1"/>
  <c r="AB73" i="17"/>
  <c r="E440" i="52"/>
  <c r="K440" i="52" s="1"/>
  <c r="F35" i="17"/>
  <c r="E108" i="52"/>
  <c r="K198" i="40"/>
  <c r="F47" i="17" s="1"/>
  <c r="L47" i="17" s="1"/>
  <c r="K331" i="51"/>
  <c r="K330" i="51"/>
  <c r="L367" i="52"/>
  <c r="M367" i="52" s="1"/>
  <c r="L368" i="52"/>
  <c r="M368" i="52" s="1"/>
  <c r="E711" i="52"/>
  <c r="K711" i="52" s="1"/>
  <c r="F78" i="17"/>
  <c r="L78" i="17" s="1"/>
  <c r="F27" i="53"/>
  <c r="L105" i="52"/>
  <c r="M105" i="52" s="1"/>
  <c r="M165" i="51"/>
  <c r="M164" i="51" s="1"/>
  <c r="M147" i="51" s="1"/>
  <c r="F41" i="17" l="1"/>
  <c r="L272" i="51"/>
  <c r="M305" i="40"/>
  <c r="AB66" i="17" s="1"/>
  <c r="K333" i="51"/>
  <c r="AB77" i="17"/>
  <c r="K147" i="51"/>
  <c r="L476" i="40"/>
  <c r="Q77" i="17" s="1"/>
  <c r="M276" i="51"/>
  <c r="L310" i="51"/>
  <c r="L328" i="51" s="1"/>
  <c r="M272" i="51"/>
  <c r="M271" i="51"/>
  <c r="M216" i="51"/>
  <c r="L6" i="51"/>
  <c r="M310" i="51"/>
  <c r="M340" i="51" s="1"/>
  <c r="M267" i="51"/>
  <c r="M255" i="51"/>
  <c r="L12" i="51"/>
  <c r="K269" i="51"/>
  <c r="K274" i="51"/>
  <c r="M260" i="51"/>
  <c r="M273" i="51"/>
  <c r="M280" i="51"/>
  <c r="E371" i="52"/>
  <c r="K371" i="52" s="1"/>
  <c r="L371" i="52" s="1"/>
  <c r="M371" i="52" s="1"/>
  <c r="M274" i="51"/>
  <c r="K268" i="51"/>
  <c r="L216" i="51"/>
  <c r="K258" i="51"/>
  <c r="K255" i="51"/>
  <c r="M345" i="51"/>
  <c r="K266" i="51"/>
  <c r="K283" i="51"/>
  <c r="K272" i="51"/>
  <c r="K282" i="51"/>
  <c r="M266" i="51"/>
  <c r="M264" i="51"/>
  <c r="K216" i="51"/>
  <c r="K271" i="51"/>
  <c r="L282" i="51"/>
  <c r="K280" i="51"/>
  <c r="K256" i="51"/>
  <c r="K281" i="51"/>
  <c r="M261" i="51"/>
  <c r="M265" i="51"/>
  <c r="P48" i="17"/>
  <c r="O26" i="48" s="1"/>
  <c r="K263" i="51"/>
  <c r="K264" i="51"/>
  <c r="K257" i="51"/>
  <c r="K260" i="51"/>
  <c r="M283" i="51"/>
  <c r="M262" i="51"/>
  <c r="P63" i="17"/>
  <c r="K261" i="51"/>
  <c r="K273" i="51"/>
  <c r="K265" i="51"/>
  <c r="K279" i="51"/>
  <c r="M269" i="51"/>
  <c r="M277" i="51"/>
  <c r="K327" i="51"/>
  <c r="F23" i="17"/>
  <c r="L23" i="17" s="1"/>
  <c r="M23" i="17" s="1"/>
  <c r="N23" i="17" s="1"/>
  <c r="M282" i="51"/>
  <c r="K335" i="51"/>
  <c r="M263" i="51"/>
  <c r="M275" i="51"/>
  <c r="L351" i="51"/>
  <c r="L342" i="51"/>
  <c r="L348" i="51"/>
  <c r="L336" i="51"/>
  <c r="L346" i="51"/>
  <c r="L335" i="51"/>
  <c r="L347" i="51"/>
  <c r="L334" i="51"/>
  <c r="L340" i="51"/>
  <c r="L343" i="51"/>
  <c r="L267" i="51"/>
  <c r="M268" i="51"/>
  <c r="L327" i="51"/>
  <c r="L344" i="51"/>
  <c r="M279" i="51"/>
  <c r="L333" i="51"/>
  <c r="L350" i="51"/>
  <c r="M258" i="51"/>
  <c r="M278" i="51"/>
  <c r="L290" i="51"/>
  <c r="L341" i="51"/>
  <c r="M256" i="51"/>
  <c r="K347" i="51"/>
  <c r="K267" i="51"/>
  <c r="K277" i="51"/>
  <c r="K275" i="51"/>
  <c r="M281" i="51"/>
  <c r="K344" i="51"/>
  <c r="K278" i="51"/>
  <c r="K270" i="51"/>
  <c r="M270" i="51"/>
  <c r="K342" i="51"/>
  <c r="K262" i="51"/>
  <c r="L265" i="51"/>
  <c r="L255" i="51"/>
  <c r="L273" i="51"/>
  <c r="L263" i="51"/>
  <c r="L262" i="51"/>
  <c r="L279" i="51"/>
  <c r="L271" i="51"/>
  <c r="L257" i="51"/>
  <c r="K332" i="51"/>
  <c r="L266" i="51"/>
  <c r="K336" i="51"/>
  <c r="K338" i="51"/>
  <c r="L278" i="51"/>
  <c r="K352" i="51"/>
  <c r="K334" i="51"/>
  <c r="L258" i="51"/>
  <c r="K346" i="51"/>
  <c r="L274" i="51"/>
  <c r="K351" i="51"/>
  <c r="L270" i="51"/>
  <c r="L268" i="51"/>
  <c r="K345" i="51"/>
  <c r="L283" i="51"/>
  <c r="L269" i="51"/>
  <c r="AH29" i="17"/>
  <c r="AB26" i="17"/>
  <c r="L106" i="52"/>
  <c r="M106" i="52" s="1"/>
  <c r="X33" i="17"/>
  <c r="Y33" i="17" s="1"/>
  <c r="AI36" i="17"/>
  <c r="AJ36" i="17" s="1"/>
  <c r="AI32" i="17"/>
  <c r="AJ32" i="17" s="1"/>
  <c r="F95" i="52"/>
  <c r="F116" i="52"/>
  <c r="F111" i="52" s="1"/>
  <c r="AB38" i="17"/>
  <c r="AI34" i="17"/>
  <c r="AJ34" i="17" s="1"/>
  <c r="AI35" i="17"/>
  <c r="AJ35" i="17" s="1"/>
  <c r="L18" i="52"/>
  <c r="M18" i="52" s="1"/>
  <c r="AH28" i="17"/>
  <c r="AB25" i="17"/>
  <c r="E99" i="52"/>
  <c r="F29" i="17"/>
  <c r="F358" i="52"/>
  <c r="F355" i="52" s="1"/>
  <c r="G52" i="17"/>
  <c r="G49" i="17" s="1"/>
  <c r="I235" i="40"/>
  <c r="F26" i="48"/>
  <c r="F65" i="53"/>
  <c r="AI47" i="17"/>
  <c r="AJ47" i="17" s="1"/>
  <c r="L362" i="52"/>
  <c r="M362" i="52" s="1"/>
  <c r="L27" i="52"/>
  <c r="M27" i="52" s="1"/>
  <c r="E709" i="52"/>
  <c r="F77" i="17"/>
  <c r="F38" i="17"/>
  <c r="L41" i="17"/>
  <c r="F83" i="17"/>
  <c r="L83" i="17" s="1"/>
  <c r="E53" i="48"/>
  <c r="L79" i="17"/>
  <c r="E99" i="53"/>
  <c r="F84" i="17"/>
  <c r="L84" i="17" s="1"/>
  <c r="F82" i="17"/>
  <c r="L82" i="17" s="1"/>
  <c r="E100" i="52"/>
  <c r="F30" i="17"/>
  <c r="W29" i="17"/>
  <c r="F17" i="48"/>
  <c r="F39" i="53"/>
  <c r="F382" i="52"/>
  <c r="F385" i="52"/>
  <c r="F373" i="52"/>
  <c r="L29" i="52"/>
  <c r="M29" i="52" s="1"/>
  <c r="M18" i="17"/>
  <c r="N18" i="17" s="1"/>
  <c r="K264" i="52"/>
  <c r="E259" i="52"/>
  <c r="K809" i="52"/>
  <c r="E812" i="52"/>
  <c r="K812" i="52" s="1"/>
  <c r="E813" i="52"/>
  <c r="K813" i="52" s="1"/>
  <c r="E814" i="52"/>
  <c r="K814" i="52" s="1"/>
  <c r="F28" i="17"/>
  <c r="E98" i="52"/>
  <c r="W30" i="17"/>
  <c r="L472" i="52"/>
  <c r="M472" i="52" s="1"/>
  <c r="K108" i="52"/>
  <c r="E124" i="52"/>
  <c r="K124" i="52" s="1"/>
  <c r="M78" i="17"/>
  <c r="N78" i="17" s="1"/>
  <c r="E470" i="52"/>
  <c r="F69" i="17"/>
  <c r="X47" i="17"/>
  <c r="Y47" i="17" s="1"/>
  <c r="M17" i="17"/>
  <c r="N17" i="17" s="1"/>
  <c r="L42" i="17"/>
  <c r="F39" i="17"/>
  <c r="K357" i="52"/>
  <c r="W28" i="17"/>
  <c r="W73" i="17"/>
  <c r="Q72" i="17"/>
  <c r="X42" i="17"/>
  <c r="Y42" i="17" s="1"/>
  <c r="M47" i="17"/>
  <c r="N47" i="17" s="1"/>
  <c r="F17" i="53"/>
  <c r="F13" i="48"/>
  <c r="E16" i="52"/>
  <c r="K17" i="52"/>
  <c r="E436" i="52"/>
  <c r="F66" i="17"/>
  <c r="L711" i="52"/>
  <c r="M711" i="52" s="1"/>
  <c r="L440" i="52"/>
  <c r="M440" i="52" s="1"/>
  <c r="K340" i="51"/>
  <c r="K348" i="51"/>
  <c r="F33" i="52"/>
  <c r="F379" i="52"/>
  <c r="F30" i="52"/>
  <c r="F36" i="52"/>
  <c r="F24" i="52"/>
  <c r="F39" i="52"/>
  <c r="E10" i="52"/>
  <c r="E9" i="48"/>
  <c r="F12" i="17"/>
  <c r="L12" i="17" s="1"/>
  <c r="F9" i="17"/>
  <c r="E260" i="52"/>
  <c r="K265" i="52"/>
  <c r="F48" i="17"/>
  <c r="L51" i="17"/>
  <c r="Q34" i="17"/>
  <c r="W34" i="17" s="1"/>
  <c r="L34" i="17"/>
  <c r="L275" i="51"/>
  <c r="L261" i="51"/>
  <c r="L366" i="52"/>
  <c r="M366" i="52" s="1"/>
  <c r="E7" i="48"/>
  <c r="F7" i="17"/>
  <c r="E8" i="52"/>
  <c r="F10" i="17"/>
  <c r="L10" i="17" s="1"/>
  <c r="E123" i="52"/>
  <c r="K123" i="52" s="1"/>
  <c r="K107" i="52"/>
  <c r="E103" i="52"/>
  <c r="M59" i="17"/>
  <c r="N59" i="17" s="1"/>
  <c r="F15" i="53"/>
  <c r="F11" i="48"/>
  <c r="F38" i="53"/>
  <c r="F16" i="48"/>
  <c r="AB30" i="17"/>
  <c r="AB33" i="17"/>
  <c r="AH33" i="17" s="1"/>
  <c r="AH73" i="17"/>
  <c r="AB72" i="17"/>
  <c r="E495" i="52"/>
  <c r="F73" i="17"/>
  <c r="F8" i="53"/>
  <c r="F8" i="48"/>
  <c r="Q68" i="17"/>
  <c r="W69" i="17"/>
  <c r="K341" i="51"/>
  <c r="K329" i="51"/>
  <c r="E8" i="48"/>
  <c r="F8" i="17"/>
  <c r="F11" i="17"/>
  <c r="L11" i="17" s="1"/>
  <c r="E9" i="52"/>
  <c r="K290" i="51"/>
  <c r="L277" i="51"/>
  <c r="L281" i="51"/>
  <c r="L360" i="52"/>
  <c r="M360" i="52" s="1"/>
  <c r="Q65" i="17"/>
  <c r="W66" i="17"/>
  <c r="E358" i="52"/>
  <c r="I234" i="40"/>
  <c r="F52" i="17"/>
  <c r="P52" i="17"/>
  <c r="AI43" i="17"/>
  <c r="AJ43" i="17" s="1"/>
  <c r="F34" i="52"/>
  <c r="F31" i="52"/>
  <c r="F25" i="52"/>
  <c r="F380" i="52"/>
  <c r="F37" i="52"/>
  <c r="F40" i="52"/>
  <c r="K339" i="51"/>
  <c r="K350" i="51"/>
  <c r="F40" i="17"/>
  <c r="L43" i="17"/>
  <c r="Q38" i="17"/>
  <c r="AB76" i="17"/>
  <c r="AH77" i="17"/>
  <c r="L276" i="51"/>
  <c r="L260" i="51"/>
  <c r="AI41" i="17"/>
  <c r="AJ41" i="17" s="1"/>
  <c r="L122" i="52"/>
  <c r="M122" i="52" s="1"/>
  <c r="M33" i="17"/>
  <c r="N33" i="17" s="1"/>
  <c r="AI42" i="17"/>
  <c r="AJ42" i="17" s="1"/>
  <c r="L28" i="52"/>
  <c r="M28" i="52" s="1"/>
  <c r="F41" i="52"/>
  <c r="F32" i="52"/>
  <c r="F381" i="52"/>
  <c r="F26" i="52"/>
  <c r="F38" i="52"/>
  <c r="F35" i="52"/>
  <c r="K328" i="51"/>
  <c r="K337" i="51"/>
  <c r="E261" i="52"/>
  <c r="K266" i="52"/>
  <c r="Q40" i="17"/>
  <c r="X41" i="17"/>
  <c r="Y41" i="17" s="1"/>
  <c r="F12" i="48"/>
  <c r="F16" i="53"/>
  <c r="L280" i="51"/>
  <c r="L264" i="51"/>
  <c r="M63" i="17"/>
  <c r="N63" i="17" s="1"/>
  <c r="F36" i="17"/>
  <c r="L36" i="17" s="1"/>
  <c r="L35" i="17"/>
  <c r="Q35" i="17"/>
  <c r="Q25" i="17" s="1"/>
  <c r="AB39" i="17"/>
  <c r="F7" i="53"/>
  <c r="F7" i="48"/>
  <c r="AB68" i="17"/>
  <c r="AH69" i="17"/>
  <c r="AB40" i="17"/>
  <c r="F9" i="53"/>
  <c r="F9" i="48"/>
  <c r="K349" i="51"/>
  <c r="F114" i="52"/>
  <c r="F109" i="52" s="1"/>
  <c r="F441" i="52" s="1"/>
  <c r="F93" i="52"/>
  <c r="M70" i="17"/>
  <c r="N70" i="17" s="1"/>
  <c r="X43" i="17"/>
  <c r="Y43" i="17" s="1"/>
  <c r="AB65" i="17"/>
  <c r="AH66" i="17"/>
  <c r="L22" i="52"/>
  <c r="M22" i="52" s="1"/>
  <c r="Q39" i="17"/>
  <c r="F94" i="52"/>
  <c r="F115" i="52"/>
  <c r="F110" i="52" s="1"/>
  <c r="L256" i="51"/>
  <c r="L339" i="51" l="1"/>
  <c r="Q76" i="17"/>
  <c r="W77" i="17"/>
  <c r="M327" i="51"/>
  <c r="M335" i="51"/>
  <c r="M341" i="51"/>
  <c r="M334" i="51"/>
  <c r="M350" i="51"/>
  <c r="M346" i="51"/>
  <c r="M352" i="51"/>
  <c r="M351" i="51"/>
  <c r="M333" i="51"/>
  <c r="M347" i="51"/>
  <c r="M338" i="51"/>
  <c r="M336" i="51"/>
  <c r="M342" i="51"/>
  <c r="M332" i="51"/>
  <c r="M349" i="51"/>
  <c r="M348" i="51"/>
  <c r="M339" i="51"/>
  <c r="P49" i="17"/>
  <c r="E354" i="52"/>
  <c r="M290" i="51"/>
  <c r="M343" i="51"/>
  <c r="M344" i="51"/>
  <c r="M328" i="51"/>
  <c r="M337" i="51"/>
  <c r="L352" i="51"/>
  <c r="L349" i="51"/>
  <c r="L345" i="51"/>
  <c r="L329" i="51"/>
  <c r="L332" i="51"/>
  <c r="L337" i="51"/>
  <c r="L338" i="51"/>
  <c r="M329" i="51"/>
  <c r="O65" i="53"/>
  <c r="Q26" i="17"/>
  <c r="W26" i="17" s="1"/>
  <c r="Q27" i="17"/>
  <c r="W27" i="17" s="1"/>
  <c r="E26" i="53"/>
  <c r="W25" i="17"/>
  <c r="E55" i="53"/>
  <c r="W39" i="17"/>
  <c r="E21" i="48"/>
  <c r="E50" i="53"/>
  <c r="L40" i="17"/>
  <c r="F49" i="17"/>
  <c r="L52" i="17"/>
  <c r="K9" i="52"/>
  <c r="AH72" i="17"/>
  <c r="E46" i="48"/>
  <c r="E91" i="53"/>
  <c r="L123" i="52"/>
  <c r="M123" i="52" s="1"/>
  <c r="E26" i="48"/>
  <c r="E65" i="53"/>
  <c r="L48" i="17"/>
  <c r="M42" i="17"/>
  <c r="N42" i="17" s="1"/>
  <c r="L264" i="52"/>
  <c r="M264" i="52" s="1"/>
  <c r="X29" i="17"/>
  <c r="Y29" i="17" s="1"/>
  <c r="E708" i="52"/>
  <c r="K708" i="52" s="1"/>
  <c r="K709" i="52"/>
  <c r="F26" i="17"/>
  <c r="L29" i="17"/>
  <c r="L107" i="52"/>
  <c r="M107" i="52" s="1"/>
  <c r="E62" i="53"/>
  <c r="E25" i="48"/>
  <c r="AH40" i="17"/>
  <c r="AI33" i="17"/>
  <c r="AJ33" i="17" s="1"/>
  <c r="K8" i="52"/>
  <c r="E281" i="52"/>
  <c r="K281" i="52" s="1"/>
  <c r="E286" i="52"/>
  <c r="K286" i="52" s="1"/>
  <c r="K260" i="52"/>
  <c r="E276" i="52"/>
  <c r="K276" i="52" s="1"/>
  <c r="X30" i="17"/>
  <c r="Y30" i="17" s="1"/>
  <c r="E95" i="52"/>
  <c r="K95" i="52" s="1"/>
  <c r="E116" i="52"/>
  <c r="K100" i="52"/>
  <c r="E37" i="53"/>
  <c r="E15" i="48"/>
  <c r="AH25" i="17"/>
  <c r="M51" i="17"/>
  <c r="N51" i="17" s="1"/>
  <c r="L265" i="52"/>
  <c r="M265" i="52" s="1"/>
  <c r="E115" i="52"/>
  <c r="K99" i="52"/>
  <c r="E94" i="52"/>
  <c r="K94" i="52" s="1"/>
  <c r="X66" i="17"/>
  <c r="Y66" i="17" s="1"/>
  <c r="AB27" i="17"/>
  <c r="AH30" i="17"/>
  <c r="L7" i="17"/>
  <c r="E7" i="53"/>
  <c r="L9" i="17"/>
  <c r="E9" i="53"/>
  <c r="E114" i="52"/>
  <c r="E93" i="52"/>
  <c r="K93" i="52" s="1"/>
  <c r="K98" i="52"/>
  <c r="M82" i="17"/>
  <c r="N82" i="17" s="1"/>
  <c r="AI28" i="17"/>
  <c r="AJ28" i="17" s="1"/>
  <c r="E96" i="53"/>
  <c r="W76" i="17"/>
  <c r="E50" i="48"/>
  <c r="E49" i="53"/>
  <c r="E20" i="48"/>
  <c r="L39" i="17"/>
  <c r="M10" i="17"/>
  <c r="N10" i="17" s="1"/>
  <c r="AI66" i="17"/>
  <c r="AJ66" i="17" s="1"/>
  <c r="E75" i="53"/>
  <c r="E32" i="48"/>
  <c r="W65" i="17"/>
  <c r="M12" i="17"/>
  <c r="N12" i="17" s="1"/>
  <c r="F25" i="17"/>
  <c r="L28" i="17"/>
  <c r="M84" i="17"/>
  <c r="N84" i="17" s="1"/>
  <c r="E88" i="53"/>
  <c r="W72" i="17"/>
  <c r="E44" i="48"/>
  <c r="F68" i="17"/>
  <c r="L69" i="17"/>
  <c r="O66" i="53"/>
  <c r="O27" i="48"/>
  <c r="E8" i="53"/>
  <c r="L8" i="17"/>
  <c r="X69" i="17"/>
  <c r="Y69" i="17" s="1"/>
  <c r="K10" i="52"/>
  <c r="X73" i="17"/>
  <c r="Y73" i="17" s="1"/>
  <c r="K470" i="52"/>
  <c r="E469" i="52"/>
  <c r="M79" i="17"/>
  <c r="N79" i="17" s="1"/>
  <c r="K99" i="53"/>
  <c r="K53" i="48"/>
  <c r="M11" i="17"/>
  <c r="N11" i="17" s="1"/>
  <c r="AH68" i="17"/>
  <c r="E83" i="53"/>
  <c r="E40" i="48"/>
  <c r="E24" i="48"/>
  <c r="AH39" i="17"/>
  <c r="E61" i="53"/>
  <c r="E81" i="53"/>
  <c r="E38" i="48"/>
  <c r="W68" i="17"/>
  <c r="F65" i="17"/>
  <c r="L66" i="17"/>
  <c r="L814" i="52"/>
  <c r="M814" i="52" s="1"/>
  <c r="K261" i="52"/>
  <c r="E282" i="52"/>
  <c r="K282" i="52" s="1"/>
  <c r="E287" i="52"/>
  <c r="K287" i="52" s="1"/>
  <c r="E277" i="52"/>
  <c r="K277" i="52" s="1"/>
  <c r="E285" i="52"/>
  <c r="K285" i="52" s="1"/>
  <c r="K259" i="52"/>
  <c r="E280" i="52"/>
  <c r="K280" i="52" s="1"/>
  <c r="E275" i="52"/>
  <c r="K275" i="52" s="1"/>
  <c r="E359" i="52"/>
  <c r="P53" i="17"/>
  <c r="P50" i="17" s="1"/>
  <c r="F53" i="17"/>
  <c r="F27" i="17"/>
  <c r="L30" i="17"/>
  <c r="E355" i="52"/>
  <c r="K358" i="52"/>
  <c r="E77" i="53"/>
  <c r="E34" i="48"/>
  <c r="AH65" i="17"/>
  <c r="E435" i="52"/>
  <c r="K436" i="52"/>
  <c r="X28" i="17"/>
  <c r="Y28" i="17" s="1"/>
  <c r="L813" i="52"/>
  <c r="M813" i="52" s="1"/>
  <c r="M83" i="17"/>
  <c r="N83" i="17" s="1"/>
  <c r="E530" i="52"/>
  <c r="K495" i="52"/>
  <c r="E494" i="52"/>
  <c r="K494" i="52" s="1"/>
  <c r="F386" i="52"/>
  <c r="F374" i="52"/>
  <c r="F383" i="52"/>
  <c r="AI69" i="17"/>
  <c r="AJ69" i="17" s="1"/>
  <c r="W35" i="17"/>
  <c r="Q36" i="17"/>
  <c r="W36" i="17" s="1"/>
  <c r="AI77" i="17"/>
  <c r="AJ77" i="17" s="1"/>
  <c r="M35" i="17"/>
  <c r="N35" i="17" s="1"/>
  <c r="E56" i="53"/>
  <c r="W40" i="17"/>
  <c r="E98" i="53"/>
  <c r="AH76" i="17"/>
  <c r="E52" i="48"/>
  <c r="M34" i="17"/>
  <c r="N34" i="17" s="1"/>
  <c r="L17" i="52"/>
  <c r="M17" i="52" s="1"/>
  <c r="L357" i="52"/>
  <c r="M357" i="52" s="1"/>
  <c r="L124" i="52"/>
  <c r="M124" i="52" s="1"/>
  <c r="L812" i="52"/>
  <c r="M812" i="52" s="1"/>
  <c r="M41" i="17"/>
  <c r="N41" i="17" s="1"/>
  <c r="F359" i="52"/>
  <c r="F356" i="52" s="1"/>
  <c r="G53" i="17"/>
  <c r="G50" i="17" s="1"/>
  <c r="AH26" i="17"/>
  <c r="E38" i="53"/>
  <c r="E16" i="48"/>
  <c r="M43" i="17"/>
  <c r="N43" i="17" s="1"/>
  <c r="F76" i="17"/>
  <c r="L77" i="17"/>
  <c r="AI73" i="17"/>
  <c r="AJ73" i="17" s="1"/>
  <c r="X77" i="17"/>
  <c r="Y77" i="17" s="1"/>
  <c r="M36" i="17"/>
  <c r="N36" i="17" s="1"/>
  <c r="L266" i="52"/>
  <c r="M266" i="52" s="1"/>
  <c r="W38" i="17"/>
  <c r="E54" i="53"/>
  <c r="F72" i="17"/>
  <c r="L73" i="17"/>
  <c r="E113" i="52"/>
  <c r="K113" i="52" s="1"/>
  <c r="E119" i="52"/>
  <c r="K119" i="52" s="1"/>
  <c r="E96" i="52"/>
  <c r="K96" i="52" s="1"/>
  <c r="K103" i="52"/>
  <c r="E112" i="52"/>
  <c r="K112" i="52" s="1"/>
  <c r="E97" i="52"/>
  <c r="K97" i="52" s="1"/>
  <c r="X34" i="17"/>
  <c r="Y34" i="17" s="1"/>
  <c r="K16" i="52"/>
  <c r="E11" i="52"/>
  <c r="K11" i="52" s="1"/>
  <c r="E382" i="52"/>
  <c r="K382" i="52" s="1"/>
  <c r="E385" i="52"/>
  <c r="K385" i="52" s="1"/>
  <c r="K354" i="52"/>
  <c r="E373" i="52"/>
  <c r="K373" i="52" s="1"/>
  <c r="L108" i="52"/>
  <c r="M108" i="52" s="1"/>
  <c r="L809" i="52"/>
  <c r="M809" i="52" s="1"/>
  <c r="E48" i="53"/>
  <c r="E19" i="48"/>
  <c r="L38" i="17"/>
  <c r="F27" i="48"/>
  <c r="F66" i="53"/>
  <c r="AH38" i="17"/>
  <c r="E23" i="48"/>
  <c r="E60" i="53"/>
  <c r="AI29" i="17"/>
  <c r="AJ29" i="17" s="1"/>
  <c r="E28" i="53" l="1"/>
  <c r="E27" i="53"/>
  <c r="L385" i="52"/>
  <c r="M385" i="52" s="1"/>
  <c r="L436" i="52"/>
  <c r="M436" i="52" s="1"/>
  <c r="K114" i="52"/>
  <c r="E109" i="52"/>
  <c r="K435" i="52"/>
  <c r="E442" i="52"/>
  <c r="K442" i="52" s="1"/>
  <c r="E443" i="52"/>
  <c r="K443" i="52" s="1"/>
  <c r="L280" i="52"/>
  <c r="M280" i="52" s="1"/>
  <c r="M28" i="17"/>
  <c r="N28" i="17" s="1"/>
  <c r="L260" i="52"/>
  <c r="M260" i="52" s="1"/>
  <c r="M29" i="17"/>
  <c r="N29" i="17" s="1"/>
  <c r="L113" i="52"/>
  <c r="M113" i="52" s="1"/>
  <c r="E73" i="53"/>
  <c r="E30" i="48"/>
  <c r="L65" i="17"/>
  <c r="L99" i="53"/>
  <c r="L53" i="48"/>
  <c r="P53" i="48" s="1"/>
  <c r="E11" i="48"/>
  <c r="E15" i="53"/>
  <c r="L25" i="17"/>
  <c r="K9" i="48"/>
  <c r="M9" i="17"/>
  <c r="N9" i="17" s="1"/>
  <c r="K9" i="53"/>
  <c r="L286" i="52"/>
  <c r="M286" i="52" s="1"/>
  <c r="E16" i="53"/>
  <c r="E12" i="48"/>
  <c r="L26" i="17"/>
  <c r="K55" i="53"/>
  <c r="X39" i="17"/>
  <c r="M53" i="48"/>
  <c r="M99" i="53"/>
  <c r="L275" i="52"/>
  <c r="M275" i="52" s="1"/>
  <c r="L72" i="17"/>
  <c r="E42" i="48"/>
  <c r="E85" i="53"/>
  <c r="E48" i="48"/>
  <c r="L76" i="17"/>
  <c r="E94" i="53"/>
  <c r="M38" i="17"/>
  <c r="N38" i="17" s="1"/>
  <c r="K19" i="48"/>
  <c r="K48" i="53"/>
  <c r="L494" i="52"/>
  <c r="M494" i="52" s="1"/>
  <c r="E474" i="52"/>
  <c r="K474" i="52" s="1"/>
  <c r="K469" i="52"/>
  <c r="X27" i="17"/>
  <c r="K28" i="53"/>
  <c r="L281" i="52"/>
  <c r="M281" i="52" s="1"/>
  <c r="L709" i="52"/>
  <c r="M709" i="52" s="1"/>
  <c r="L93" i="52"/>
  <c r="M93" i="52" s="1"/>
  <c r="L382" i="52"/>
  <c r="M382" i="52" s="1"/>
  <c r="K77" i="53"/>
  <c r="K34" i="48"/>
  <c r="AI65" i="17"/>
  <c r="AJ65" i="17" s="1"/>
  <c r="L285" i="52"/>
  <c r="M285" i="52" s="1"/>
  <c r="K54" i="53"/>
  <c r="X38" i="17"/>
  <c r="Y38" i="17" s="1"/>
  <c r="L495" i="52"/>
  <c r="M495" i="52" s="1"/>
  <c r="L277" i="52"/>
  <c r="M277" i="52" s="1"/>
  <c r="K24" i="48"/>
  <c r="K61" i="53"/>
  <c r="AI39" i="17"/>
  <c r="AJ39" i="17" s="1"/>
  <c r="L470" i="52"/>
  <c r="M470" i="52" s="1"/>
  <c r="K50" i="48"/>
  <c r="K96" i="53"/>
  <c r="X76" i="17"/>
  <c r="K7" i="48"/>
  <c r="K7" i="53"/>
  <c r="M7" i="17"/>
  <c r="N7" i="17" s="1"/>
  <c r="K15" i="48"/>
  <c r="AI25" i="17"/>
  <c r="AJ25" i="17" s="1"/>
  <c r="K37" i="53"/>
  <c r="E5" i="52"/>
  <c r="L708" i="52"/>
  <c r="M708" i="52" s="1"/>
  <c r="K75" i="53"/>
  <c r="K32" i="48"/>
  <c r="X65" i="17"/>
  <c r="Y65" i="17" s="1"/>
  <c r="AI30" i="17"/>
  <c r="AJ30" i="17" s="1"/>
  <c r="L8" i="52"/>
  <c r="M8" i="52" s="1"/>
  <c r="K65" i="53"/>
  <c r="M48" i="17"/>
  <c r="N48" i="17" s="1"/>
  <c r="K26" i="48"/>
  <c r="K23" i="48"/>
  <c r="K60" i="53"/>
  <c r="AI38" i="17"/>
  <c r="AJ38" i="17" s="1"/>
  <c r="K49" i="53"/>
  <c r="M39" i="17"/>
  <c r="K20" i="48"/>
  <c r="L11" i="52"/>
  <c r="M11" i="52" s="1"/>
  <c r="L259" i="52"/>
  <c r="M259" i="52" s="1"/>
  <c r="L97" i="52"/>
  <c r="M97" i="52" s="1"/>
  <c r="E374" i="52"/>
  <c r="K374" i="52" s="1"/>
  <c r="K355" i="52"/>
  <c r="E383" i="52"/>
  <c r="K383" i="52" s="1"/>
  <c r="E386" i="52"/>
  <c r="K386" i="52" s="1"/>
  <c r="L282" i="52"/>
  <c r="M282" i="52" s="1"/>
  <c r="M69" i="17"/>
  <c r="N69" i="17" s="1"/>
  <c r="E39" i="53"/>
  <c r="AH27" i="17"/>
  <c r="E17" i="48"/>
  <c r="K91" i="53"/>
  <c r="K46" i="48"/>
  <c r="AI72" i="17"/>
  <c r="AJ72" i="17" s="1"/>
  <c r="K21" i="48"/>
  <c r="K50" i="53"/>
  <c r="M40" i="17"/>
  <c r="K81" i="53"/>
  <c r="K38" i="48"/>
  <c r="X68" i="17"/>
  <c r="Y68" i="17" s="1"/>
  <c r="X40" i="17"/>
  <c r="Y40" i="17" s="1"/>
  <c r="K56" i="53"/>
  <c r="L16" i="52"/>
  <c r="M16" i="52" s="1"/>
  <c r="L112" i="52"/>
  <c r="M112" i="52" s="1"/>
  <c r="K38" i="53"/>
  <c r="K16" i="48"/>
  <c r="AI26" i="17"/>
  <c r="AJ26" i="17" s="1"/>
  <c r="M30" i="17"/>
  <c r="N30" i="17" s="1"/>
  <c r="L261" i="52"/>
  <c r="M261" i="52" s="1"/>
  <c r="E7" i="52"/>
  <c r="L68" i="17"/>
  <c r="E79" i="53"/>
  <c r="E36" i="48"/>
  <c r="L100" i="52"/>
  <c r="M100" i="52" s="1"/>
  <c r="L9" i="52"/>
  <c r="M9" i="52" s="1"/>
  <c r="K27" i="53"/>
  <c r="X26" i="17"/>
  <c r="Y26" i="17" s="1"/>
  <c r="AI76" i="17"/>
  <c r="AJ76" i="17" s="1"/>
  <c r="K52" i="48"/>
  <c r="K98" i="53"/>
  <c r="M73" i="17"/>
  <c r="N73" i="17" s="1"/>
  <c r="L358" i="52"/>
  <c r="M358" i="52" s="1"/>
  <c r="F28" i="48"/>
  <c r="F67" i="53"/>
  <c r="X36" i="17"/>
  <c r="Y36" i="17" s="1"/>
  <c r="E17" i="53"/>
  <c r="E13" i="48"/>
  <c r="L27" i="17"/>
  <c r="K83" i="53"/>
  <c r="K40" i="48"/>
  <c r="AI68" i="17"/>
  <c r="AJ68" i="17" s="1"/>
  <c r="L10" i="52"/>
  <c r="M10" i="52" s="1"/>
  <c r="E111" i="52"/>
  <c r="K111" i="52" s="1"/>
  <c r="K116" i="52"/>
  <c r="AI40" i="17"/>
  <c r="AJ40" i="17" s="1"/>
  <c r="K25" i="48"/>
  <c r="K62" i="53"/>
  <c r="E6" i="52"/>
  <c r="X25" i="17"/>
  <c r="Y25" i="17" s="1"/>
  <c r="K26" i="53"/>
  <c r="L354" i="52"/>
  <c r="M354" i="52" s="1"/>
  <c r="M8" i="17"/>
  <c r="N8" i="17" s="1"/>
  <c r="K8" i="48"/>
  <c r="K8" i="53"/>
  <c r="L276" i="52"/>
  <c r="M276" i="52" s="1"/>
  <c r="M77" i="17"/>
  <c r="N77" i="17" s="1"/>
  <c r="L287" i="52"/>
  <c r="M287" i="52" s="1"/>
  <c r="L103" i="52"/>
  <c r="M103" i="52" s="1"/>
  <c r="X35" i="17"/>
  <c r="Y35" i="17"/>
  <c r="L95" i="52"/>
  <c r="M95" i="52" s="1"/>
  <c r="M52" i="17"/>
  <c r="N52" i="17" s="1"/>
  <c r="K359" i="52"/>
  <c r="E356" i="52"/>
  <c r="K115" i="52"/>
  <c r="E110" i="52"/>
  <c r="K110" i="52" s="1"/>
  <c r="E529" i="52"/>
  <c r="K529" i="52" s="1"/>
  <c r="K530" i="52"/>
  <c r="L96" i="52"/>
  <c r="M96" i="52" s="1"/>
  <c r="F387" i="52"/>
  <c r="F375" i="52"/>
  <c r="F384" i="52"/>
  <c r="F50" i="17"/>
  <c r="L53" i="17"/>
  <c r="K88" i="53"/>
  <c r="X72" i="17"/>
  <c r="Y72" i="17" s="1"/>
  <c r="K44" i="48"/>
  <c r="L94" i="52"/>
  <c r="M94" i="52" s="1"/>
  <c r="L373" i="52"/>
  <c r="M373" i="52" s="1"/>
  <c r="L119" i="52"/>
  <c r="M119" i="52" s="1"/>
  <c r="O28" i="48"/>
  <c r="O67" i="53"/>
  <c r="M66" i="17"/>
  <c r="N66" i="17" s="1"/>
  <c r="L98" i="52"/>
  <c r="M98" i="52" s="1"/>
  <c r="L99" i="52"/>
  <c r="M99" i="52" s="1"/>
  <c r="E27" i="48"/>
  <c r="E66" i="53"/>
  <c r="L49" i="17"/>
  <c r="M52" i="48" l="1"/>
  <c r="L42" i="49"/>
  <c r="M98" i="53"/>
  <c r="M56" i="53"/>
  <c r="R22" i="49"/>
  <c r="T22" i="49" s="1"/>
  <c r="M40" i="48"/>
  <c r="M83" i="53"/>
  <c r="M81" i="53"/>
  <c r="M38" i="48"/>
  <c r="M9" i="53"/>
  <c r="M9" i="48"/>
  <c r="F9" i="49" s="1"/>
  <c r="L28" i="53"/>
  <c r="L96" i="53"/>
  <c r="L50" i="48"/>
  <c r="P50" i="48" s="1"/>
  <c r="L16" i="48"/>
  <c r="P16" i="48" s="1"/>
  <c r="L38" i="53"/>
  <c r="K17" i="48"/>
  <c r="K39" i="53"/>
  <c r="AI27" i="17"/>
  <c r="AJ27" i="17" s="1"/>
  <c r="F25" i="49"/>
  <c r="M26" i="48"/>
  <c r="M65" i="53"/>
  <c r="T65" i="53" s="1"/>
  <c r="L474" i="52"/>
  <c r="M474" i="52" s="1"/>
  <c r="M72" i="17"/>
  <c r="N72" i="17" s="1"/>
  <c r="K85" i="53"/>
  <c r="K42" i="48"/>
  <c r="K73" i="53"/>
  <c r="K30" i="48"/>
  <c r="M65" i="17"/>
  <c r="N65" i="17" s="1"/>
  <c r="Y76" i="17"/>
  <c r="R20" i="49"/>
  <c r="T20" i="49" s="1"/>
  <c r="M54" i="53"/>
  <c r="L443" i="52"/>
  <c r="M443" i="52" s="1"/>
  <c r="M16" i="48"/>
  <c r="M38" i="53"/>
  <c r="L16" i="49"/>
  <c r="N16" i="49" s="1"/>
  <c r="L359" i="52"/>
  <c r="M359" i="52" s="1"/>
  <c r="L26" i="53"/>
  <c r="L65" i="53"/>
  <c r="L26" i="48"/>
  <c r="P26" i="48" s="1"/>
  <c r="E33" i="52"/>
  <c r="K33" i="52" s="1"/>
  <c r="E30" i="52"/>
  <c r="K30" i="52" s="1"/>
  <c r="E24" i="52"/>
  <c r="K24" i="52" s="1"/>
  <c r="E36" i="52"/>
  <c r="K36" i="52" s="1"/>
  <c r="E39" i="52"/>
  <c r="K39" i="52" s="1"/>
  <c r="E379" i="52"/>
  <c r="K379" i="52" s="1"/>
  <c r="K5" i="52"/>
  <c r="L54" i="53"/>
  <c r="L442" i="52"/>
  <c r="M442" i="52" s="1"/>
  <c r="L40" i="48"/>
  <c r="P40" i="48" s="1"/>
  <c r="L83" i="53"/>
  <c r="M53" i="17"/>
  <c r="N53" i="17" s="1"/>
  <c r="L50" i="17"/>
  <c r="E28" i="48"/>
  <c r="E67" i="53"/>
  <c r="K6" i="52"/>
  <c r="E380" i="52"/>
  <c r="K380" i="52" s="1"/>
  <c r="E40" i="52"/>
  <c r="K40" i="52" s="1"/>
  <c r="E25" i="52"/>
  <c r="K25" i="52" s="1"/>
  <c r="E37" i="52"/>
  <c r="K37" i="52" s="1"/>
  <c r="E34" i="52"/>
  <c r="K34" i="52" s="1"/>
  <c r="E31" i="52"/>
  <c r="K31" i="52" s="1"/>
  <c r="L50" i="53"/>
  <c r="L21" i="48"/>
  <c r="P21" i="48" s="1"/>
  <c r="M37" i="53"/>
  <c r="M15" i="48"/>
  <c r="L15" i="49"/>
  <c r="N15" i="49" s="1"/>
  <c r="L435" i="52"/>
  <c r="M435" i="52" s="1"/>
  <c r="L529" i="52"/>
  <c r="M529" i="52" s="1"/>
  <c r="R15" i="49"/>
  <c r="T15" i="49" s="1"/>
  <c r="M26" i="53"/>
  <c r="E441" i="52"/>
  <c r="K441" i="52" s="1"/>
  <c r="K109" i="52"/>
  <c r="M49" i="17"/>
  <c r="K27" i="48"/>
  <c r="K66" i="53"/>
  <c r="K36" i="48"/>
  <c r="K79" i="53"/>
  <c r="M68" i="17"/>
  <c r="N68" i="17" s="1"/>
  <c r="N40" i="17"/>
  <c r="L20" i="48"/>
  <c r="P20" i="48" s="1"/>
  <c r="L49" i="53"/>
  <c r="L37" i="53"/>
  <c r="L15" i="48"/>
  <c r="P15" i="48" s="1"/>
  <c r="M24" i="48"/>
  <c r="M61" i="53"/>
  <c r="L21" i="49"/>
  <c r="N21" i="49" s="1"/>
  <c r="M19" i="48"/>
  <c r="F20" i="49"/>
  <c r="H20" i="49" s="1"/>
  <c r="M48" i="53"/>
  <c r="Q48" i="53" s="1"/>
  <c r="R48" i="53" s="1"/>
  <c r="L55" i="53"/>
  <c r="L114" i="52"/>
  <c r="M114" i="52" s="1"/>
  <c r="M44" i="48"/>
  <c r="M88" i="53"/>
  <c r="R37" i="49"/>
  <c r="L115" i="52"/>
  <c r="M115" i="52" s="1"/>
  <c r="L22" i="49"/>
  <c r="N22" i="49" s="1"/>
  <c r="M62" i="53"/>
  <c r="M25" i="48"/>
  <c r="E26" i="52"/>
  <c r="K26" i="52" s="1"/>
  <c r="E38" i="52"/>
  <c r="K38" i="52" s="1"/>
  <c r="E381" i="52"/>
  <c r="K381" i="52" s="1"/>
  <c r="E35" i="52"/>
  <c r="K35" i="52" s="1"/>
  <c r="E41" i="52"/>
  <c r="K41" i="52" s="1"/>
  <c r="E32" i="52"/>
  <c r="K32" i="52" s="1"/>
  <c r="K7" i="52"/>
  <c r="L386" i="52"/>
  <c r="M386" i="52" s="1"/>
  <c r="L61" i="53"/>
  <c r="L24" i="48"/>
  <c r="P24" i="48" s="1"/>
  <c r="L19" i="48"/>
  <c r="P19" i="48" s="1"/>
  <c r="L48" i="53"/>
  <c r="Y39" i="17"/>
  <c r="K11" i="48"/>
  <c r="M25" i="17"/>
  <c r="N25" i="17" s="1"/>
  <c r="K15" i="53"/>
  <c r="L38" i="48"/>
  <c r="P38" i="48" s="1"/>
  <c r="L81" i="53"/>
  <c r="E375" i="52"/>
  <c r="K375" i="52" s="1"/>
  <c r="E387" i="52"/>
  <c r="K387" i="52" s="1"/>
  <c r="E384" i="52"/>
  <c r="K384" i="52" s="1"/>
  <c r="K356" i="52"/>
  <c r="K13" i="48"/>
  <c r="M27" i="17"/>
  <c r="N27" i="17" s="1"/>
  <c r="K17" i="53"/>
  <c r="M8" i="53"/>
  <c r="M8" i="48"/>
  <c r="F8" i="49" s="1"/>
  <c r="L25" i="48"/>
  <c r="P25" i="48" s="1"/>
  <c r="L62" i="53"/>
  <c r="M27" i="53"/>
  <c r="R16" i="49"/>
  <c r="T16" i="49" s="1"/>
  <c r="M46" i="48"/>
  <c r="M91" i="53"/>
  <c r="L37" i="49"/>
  <c r="L383" i="52"/>
  <c r="M383" i="52" s="1"/>
  <c r="N39" i="17"/>
  <c r="M7" i="48"/>
  <c r="F7" i="49" s="1"/>
  <c r="M7" i="53"/>
  <c r="M77" i="53"/>
  <c r="M34" i="48"/>
  <c r="L32" i="49"/>
  <c r="L56" i="53"/>
  <c r="L8" i="53"/>
  <c r="L8" i="48"/>
  <c r="P8" i="48" s="1"/>
  <c r="L116" i="52"/>
  <c r="M116" i="52" s="1"/>
  <c r="L46" i="48"/>
  <c r="P46" i="48" s="1"/>
  <c r="L91" i="53"/>
  <c r="L355" i="52"/>
  <c r="M355" i="52" s="1"/>
  <c r="L20" i="49"/>
  <c r="N20" i="49" s="1"/>
  <c r="M23" i="48"/>
  <c r="M60" i="53"/>
  <c r="M32" i="48"/>
  <c r="M75" i="53"/>
  <c r="R32" i="49"/>
  <c r="L7" i="48"/>
  <c r="P7" i="48" s="1"/>
  <c r="L7" i="53"/>
  <c r="L77" i="53"/>
  <c r="L34" i="48"/>
  <c r="P34" i="48" s="1"/>
  <c r="Y27" i="17"/>
  <c r="K48" i="48"/>
  <c r="K94" i="53"/>
  <c r="M76" i="17"/>
  <c r="L110" i="52"/>
  <c r="M110" i="52" s="1"/>
  <c r="L469" i="52"/>
  <c r="M469" i="52" s="1"/>
  <c r="L44" i="48"/>
  <c r="P44" i="48" s="1"/>
  <c r="L88" i="53"/>
  <c r="L9" i="53"/>
  <c r="L9" i="48"/>
  <c r="P9" i="48" s="1"/>
  <c r="L52" i="48"/>
  <c r="P52" i="48" s="1"/>
  <c r="L98" i="53"/>
  <c r="L530" i="52"/>
  <c r="M530" i="52" s="1"/>
  <c r="L111" i="52"/>
  <c r="M111" i="52" s="1"/>
  <c r="L27" i="53"/>
  <c r="L374" i="52"/>
  <c r="M374" i="52" s="1"/>
  <c r="L23" i="48"/>
  <c r="P23" i="48" s="1"/>
  <c r="L60" i="53"/>
  <c r="L32" i="48"/>
  <c r="P32" i="48" s="1"/>
  <c r="L75" i="53"/>
  <c r="K12" i="48"/>
  <c r="M26" i="17"/>
  <c r="N26" i="17" s="1"/>
  <c r="K16" i="53"/>
  <c r="M36" i="48" l="1"/>
  <c r="M79" i="53"/>
  <c r="M17" i="48"/>
  <c r="M39" i="53"/>
  <c r="L17" i="49"/>
  <c r="N17" i="49" s="1"/>
  <c r="M13" i="48"/>
  <c r="F17" i="49"/>
  <c r="H17" i="49" s="1"/>
  <c r="M17" i="53"/>
  <c r="Q17" i="53" s="1"/>
  <c r="R17" i="53" s="1"/>
  <c r="F16" i="49"/>
  <c r="H16" i="49" s="1"/>
  <c r="M12" i="48"/>
  <c r="M16" i="53"/>
  <c r="Q16" i="53" s="1"/>
  <c r="R16" i="53" s="1"/>
  <c r="M42" i="48"/>
  <c r="M85" i="53"/>
  <c r="F37" i="49"/>
  <c r="T9" i="53"/>
  <c r="Q9" i="53"/>
  <c r="R9" i="53" s="1"/>
  <c r="L375" i="52"/>
  <c r="M375" i="52" s="1"/>
  <c r="K67" i="53"/>
  <c r="K28" i="48"/>
  <c r="M50" i="17"/>
  <c r="N50" i="17" s="1"/>
  <c r="T8" i="53"/>
  <c r="Q8" i="53"/>
  <c r="R8" i="53" s="1"/>
  <c r="M21" i="48"/>
  <c r="F22" i="49"/>
  <c r="H22" i="49" s="1"/>
  <c r="M50" i="53"/>
  <c r="Q50" i="53" s="1"/>
  <c r="R50" i="53" s="1"/>
  <c r="L39" i="52"/>
  <c r="M39" i="52" s="1"/>
  <c r="L109" i="52"/>
  <c r="M109" i="52" s="1"/>
  <c r="L441" i="52"/>
  <c r="M441" i="52" s="1"/>
  <c r="L94" i="53"/>
  <c r="L48" i="48"/>
  <c r="P48" i="48" s="1"/>
  <c r="L36" i="52"/>
  <c r="M36" i="52" s="1"/>
  <c r="R7" i="49"/>
  <c r="T7" i="49" s="1"/>
  <c r="H7" i="49"/>
  <c r="M49" i="53"/>
  <c r="Q49" i="53" s="1"/>
  <c r="R49" i="53" s="1"/>
  <c r="M20" i="48"/>
  <c r="F21" i="49"/>
  <c r="H21" i="49" s="1"/>
  <c r="L38" i="49"/>
  <c r="N37" i="49"/>
  <c r="M15" i="53"/>
  <c r="Q15" i="53" s="1"/>
  <c r="R15" i="53" s="1"/>
  <c r="F15" i="49"/>
  <c r="H15" i="49" s="1"/>
  <c r="M11" i="48"/>
  <c r="L36" i="48"/>
  <c r="P36" i="48" s="1"/>
  <c r="L79" i="53"/>
  <c r="L31" i="52"/>
  <c r="M31" i="52" s="1"/>
  <c r="L24" i="52"/>
  <c r="M24" i="52" s="1"/>
  <c r="Q7" i="53"/>
  <c r="R7" i="53" s="1"/>
  <c r="T7" i="53"/>
  <c r="H25" i="49"/>
  <c r="R25" i="49"/>
  <c r="T25" i="49" s="1"/>
  <c r="R9" i="49"/>
  <c r="T9" i="49" s="1"/>
  <c r="H9" i="49"/>
  <c r="L379" i="52"/>
  <c r="M379" i="52" s="1"/>
  <c r="L30" i="52"/>
  <c r="M30" i="52" s="1"/>
  <c r="N76" i="17"/>
  <c r="L15" i="53"/>
  <c r="L11" i="48"/>
  <c r="P11" i="48" s="1"/>
  <c r="L32" i="52"/>
  <c r="M32" i="52" s="1"/>
  <c r="L37" i="52"/>
  <c r="M37" i="52" s="1"/>
  <c r="L33" i="52"/>
  <c r="M33" i="52" s="1"/>
  <c r="M30" i="48"/>
  <c r="M73" i="53"/>
  <c r="F32" i="49"/>
  <c r="L30" i="48"/>
  <c r="P30" i="48" s="1"/>
  <c r="L73" i="53"/>
  <c r="L41" i="52"/>
  <c r="M41" i="52" s="1"/>
  <c r="R38" i="49"/>
  <c r="T37" i="49"/>
  <c r="L25" i="52"/>
  <c r="M25" i="52" s="1"/>
  <c r="L85" i="53"/>
  <c r="L42" i="48"/>
  <c r="P42" i="48" s="1"/>
  <c r="L26" i="52"/>
  <c r="M26" i="52" s="1"/>
  <c r="H8" i="49"/>
  <c r="R8" i="49"/>
  <c r="T8" i="49" s="1"/>
  <c r="L17" i="48"/>
  <c r="P17" i="48" s="1"/>
  <c r="L39" i="53"/>
  <c r="L13" i="48"/>
  <c r="P13" i="48" s="1"/>
  <c r="L17" i="53"/>
  <c r="N32" i="49"/>
  <c r="L33" i="49"/>
  <c r="L356" i="52"/>
  <c r="M356" i="52" s="1"/>
  <c r="R21" i="49"/>
  <c r="T21" i="49" s="1"/>
  <c r="M55" i="53"/>
  <c r="L35" i="52"/>
  <c r="M35" i="52" s="1"/>
  <c r="L40" i="52"/>
  <c r="M40" i="52" s="1"/>
  <c r="L5" i="52"/>
  <c r="M5" i="52" s="1"/>
  <c r="L34" i="52"/>
  <c r="M34" i="52" s="1"/>
  <c r="L384" i="52"/>
  <c r="M384" i="52" s="1"/>
  <c r="L381" i="52"/>
  <c r="M381" i="52" s="1"/>
  <c r="L380" i="52"/>
  <c r="M380" i="52" s="1"/>
  <c r="R42" i="49"/>
  <c r="M50" i="48"/>
  <c r="M96" i="53"/>
  <c r="L43" i="49"/>
  <c r="N42" i="49"/>
  <c r="L66" i="53"/>
  <c r="L27" i="48"/>
  <c r="P27" i="48" s="1"/>
  <c r="T32" i="49"/>
  <c r="R33" i="49"/>
  <c r="L7" i="52"/>
  <c r="M7" i="52" s="1"/>
  <c r="M28" i="53"/>
  <c r="R17" i="49"/>
  <c r="T17" i="49" s="1"/>
  <c r="L12" i="48"/>
  <c r="P12" i="48" s="1"/>
  <c r="L16" i="53"/>
  <c r="L387" i="52"/>
  <c r="M387" i="52" s="1"/>
  <c r="L38" i="52"/>
  <c r="M38" i="52" s="1"/>
  <c r="N49" i="17"/>
  <c r="L6" i="52"/>
  <c r="M6" i="52" s="1"/>
  <c r="F26" i="49" l="1"/>
  <c r="M27" i="48"/>
  <c r="M66" i="53"/>
  <c r="T66" i="53" s="1"/>
  <c r="L67" i="53"/>
  <c r="L28" i="48"/>
  <c r="P28" i="48" s="1"/>
  <c r="R39" i="49"/>
  <c r="T38" i="49"/>
  <c r="N38" i="49"/>
  <c r="L39" i="49"/>
  <c r="R34" i="49"/>
  <c r="T33" i="49"/>
  <c r="F33" i="49"/>
  <c r="H32" i="49"/>
  <c r="N33" i="49"/>
  <c r="L34" i="49"/>
  <c r="M28" i="48"/>
  <c r="F27" i="49"/>
  <c r="M67" i="53"/>
  <c r="T67" i="53" s="1"/>
  <c r="L44" i="49"/>
  <c r="N43" i="49"/>
  <c r="F38" i="49"/>
  <c r="H37" i="49"/>
  <c r="M94" i="53"/>
  <c r="F42" i="49"/>
  <c r="M48" i="48"/>
  <c r="T42" i="49"/>
  <c r="R43" i="49"/>
  <c r="H38" i="49" l="1"/>
  <c r="F39" i="49"/>
  <c r="R40" i="49"/>
  <c r="T39" i="49"/>
  <c r="L40" i="49"/>
  <c r="N39" i="49"/>
  <c r="H27" i="49"/>
  <c r="R27" i="49"/>
  <c r="T27" i="49" s="1"/>
  <c r="L35" i="49"/>
  <c r="N34" i="49"/>
  <c r="T34" i="49"/>
  <c r="R35" i="49"/>
  <c r="N44" i="49"/>
  <c r="L45" i="49"/>
  <c r="R44" i="49"/>
  <c r="T43" i="49"/>
  <c r="F43" i="49"/>
  <c r="H42" i="49"/>
  <c r="F34" i="49"/>
  <c r="H33" i="49"/>
  <c r="H26" i="49"/>
  <c r="R26" i="49"/>
  <c r="T26" i="49" s="1"/>
  <c r="F35" i="49" l="1"/>
  <c r="H34" i="49"/>
  <c r="H43" i="49"/>
  <c r="F44" i="49"/>
  <c r="R36" i="49"/>
  <c r="T36" i="49" s="1"/>
  <c r="T35" i="49"/>
  <c r="L36" i="49"/>
  <c r="N36" i="49" s="1"/>
  <c r="N35" i="49"/>
  <c r="N40" i="49"/>
  <c r="L41" i="49"/>
  <c r="N41" i="49" s="1"/>
  <c r="R45" i="49"/>
  <c r="T44" i="49"/>
  <c r="R41" i="49"/>
  <c r="T41" i="49" s="1"/>
  <c r="T40" i="49"/>
  <c r="N45" i="49"/>
  <c r="L46" i="49"/>
  <c r="N46" i="49" s="1"/>
  <c r="F40" i="49"/>
  <c r="H39" i="49"/>
  <c r="T45" i="49" l="1"/>
  <c r="R46" i="49"/>
  <c r="T46" i="49" s="1"/>
  <c r="H40" i="49"/>
  <c r="F41" i="49"/>
  <c r="H41" i="49" s="1"/>
  <c r="F45" i="49"/>
  <c r="H44" i="49"/>
  <c r="H35" i="49"/>
  <c r="F36" i="49"/>
  <c r="H36" i="49" s="1"/>
  <c r="F46" i="49" l="1"/>
  <c r="H46" i="49" s="1"/>
  <c r="H45" i="49"/>
</calcChain>
</file>

<file path=xl/sharedStrings.xml><?xml version="1.0" encoding="utf-8"?>
<sst xmlns="http://schemas.openxmlformats.org/spreadsheetml/2006/main" count="5140" uniqueCount="984">
  <si>
    <t>Khấu hao /1 ca</t>
  </si>
  <si>
    <t>Thửa</t>
  </si>
  <si>
    <t>Danh mục dụng cụ</t>
  </si>
  <si>
    <t>Danh mục vật liệu</t>
  </si>
  <si>
    <t>Công suất
(kw/h)</t>
  </si>
  <si>
    <r>
      <t xml:space="preserve">Thời gian
SD máy
</t>
    </r>
    <r>
      <rPr>
        <sz val="12"/>
        <rFont val="Times New Roman"/>
        <family val="1"/>
      </rPr>
      <t>(năm)</t>
    </r>
  </si>
  <si>
    <t>chung</t>
  </si>
  <si>
    <t>Chi phí
LĐKT</t>
  </si>
  <si>
    <t>Chi phí
LĐPT</t>
  </si>
  <si>
    <t>dụng cụ</t>
  </si>
  <si>
    <t>Chi phí
dụng cụ</t>
  </si>
  <si>
    <t>Chi phí
vật liệu</t>
  </si>
  <si>
    <t>Chi phí
trực tiếp (A1)</t>
  </si>
  <si>
    <t>Chi phí
chung</t>
  </si>
  <si>
    <t>Đơn giá
sản phẩm</t>
  </si>
  <si>
    <t>Ghi chú</t>
  </si>
  <si>
    <t>Danh mục sản phẩm</t>
  </si>
  <si>
    <t>Định biên</t>
  </si>
  <si>
    <t>Điện năng</t>
  </si>
  <si>
    <t>TT</t>
  </si>
  <si>
    <t>A</t>
  </si>
  <si>
    <t>BHXH-YT</t>
  </si>
  <si>
    <t>B</t>
  </si>
  <si>
    <t>PCTN</t>
  </si>
  <si>
    <t>STT</t>
  </si>
  <si>
    <t>KK</t>
  </si>
  <si>
    <t>I</t>
  </si>
  <si>
    <t>PCKV</t>
  </si>
  <si>
    <t>Đơn giá
(đ/ca)</t>
  </si>
  <si>
    <t>Số
TT</t>
  </si>
  <si>
    <t>Danh mục thiết bị</t>
  </si>
  <si>
    <t>Nguyên giá</t>
  </si>
  <si>
    <t>1-3</t>
  </si>
  <si>
    <t>1</t>
  </si>
  <si>
    <t>2</t>
  </si>
  <si>
    <t>3</t>
  </si>
  <si>
    <t>Thành tiền</t>
  </si>
  <si>
    <t>10</t>
  </si>
  <si>
    <t>11</t>
  </si>
  <si>
    <t>ĐVT</t>
  </si>
  <si>
    <t>nhóm</t>
  </si>
  <si>
    <t>Công</t>
  </si>
  <si>
    <t>CHI PHÍ NHÂN CÔNG</t>
  </si>
  <si>
    <t>Bút bi</t>
  </si>
  <si>
    <t>Máy photocopy</t>
  </si>
  <si>
    <t>Điều hoà nhiệt độ</t>
  </si>
  <si>
    <t>Danh mục công việc</t>
  </si>
  <si>
    <t>Số</t>
  </si>
  <si>
    <t>cái</t>
  </si>
  <si>
    <t>Bàn làm việc</t>
  </si>
  <si>
    <t>Hệ số</t>
  </si>
  <si>
    <t>lương</t>
  </si>
  <si>
    <t>Lao động phổ thông</t>
  </si>
  <si>
    <t>Hồ sơ</t>
  </si>
  <si>
    <t>Bậc việc</t>
  </si>
  <si>
    <t>Lương CB</t>
  </si>
  <si>
    <t>Bình quân</t>
  </si>
  <si>
    <t>0.2/5 người</t>
  </si>
  <si>
    <t>Tổng cộng</t>
  </si>
  <si>
    <t>lương CB</t>
  </si>
  <si>
    <t>I- NGOẠI NGHIỆP:</t>
  </si>
  <si>
    <t>II- NỘI NGHIỆP:</t>
  </si>
  <si>
    <t>Ngoại nghiệp</t>
  </si>
  <si>
    <t>Nội nghiệp</t>
  </si>
  <si>
    <t>Phụ cấp</t>
  </si>
  <si>
    <t>Kỹ thuật viên</t>
  </si>
  <si>
    <t>Nhóm 2</t>
  </si>
  <si>
    <t>Nhóm 3</t>
  </si>
  <si>
    <t>1KS1</t>
  </si>
  <si>
    <t>1KS2</t>
  </si>
  <si>
    <t>Kỹ sư</t>
  </si>
  <si>
    <t>1KS4</t>
  </si>
  <si>
    <t>1 ngày công</t>
  </si>
  <si>
    <t>DANH MỤC CÔNG VIỆC</t>
  </si>
  <si>
    <t>LX3</t>
  </si>
  <si>
    <t>KTV3</t>
  </si>
  <si>
    <t>KTV4</t>
  </si>
  <si>
    <t>KTV5</t>
  </si>
  <si>
    <t>KTV6</t>
  </si>
  <si>
    <t>KTV7</t>
  </si>
  <si>
    <t>KTV8</t>
  </si>
  <si>
    <t>KTV9</t>
  </si>
  <si>
    <t>KTV10</t>
  </si>
  <si>
    <t>KTV11</t>
  </si>
  <si>
    <t>KTV12</t>
  </si>
  <si>
    <t>KS2</t>
  </si>
  <si>
    <t>KS3</t>
  </si>
  <si>
    <t>KS4</t>
  </si>
  <si>
    <t>KS5</t>
  </si>
  <si>
    <t>KS6</t>
  </si>
  <si>
    <t>KS7</t>
  </si>
  <si>
    <t>KS8</t>
  </si>
  <si>
    <t>Lương ngày ngoại nghiệp</t>
  </si>
  <si>
    <t>Lương ngày nội nghiệp</t>
  </si>
  <si>
    <t>Ngoại nghiệp:</t>
  </si>
  <si>
    <t>Nội nghiệp:</t>
  </si>
  <si>
    <t>Lái xe</t>
  </si>
  <si>
    <t>Nhóm 1</t>
  </si>
  <si>
    <t>Loại</t>
  </si>
  <si>
    <t>ăn</t>
  </si>
  <si>
    <t>trưa</t>
  </si>
  <si>
    <t>LX2</t>
  </si>
  <si>
    <t>LX4</t>
  </si>
  <si>
    <t>KTV1</t>
  </si>
  <si>
    <t>KTV2</t>
  </si>
  <si>
    <t>KS1</t>
  </si>
  <si>
    <t>1KS3</t>
  </si>
  <si>
    <t>II</t>
  </si>
  <si>
    <t>1KTV4</t>
  </si>
  <si>
    <t>10.2</t>
  </si>
  <si>
    <t>III</t>
  </si>
  <si>
    <t>V</t>
  </si>
  <si>
    <t>Thời hạn
(tháng)</t>
  </si>
  <si>
    <t>ĐVT:</t>
  </si>
  <si>
    <t>Đơn giá
(đồng)</t>
  </si>
  <si>
    <t>Máy tính để bàn</t>
  </si>
  <si>
    <t>đồng</t>
  </si>
  <si>
    <t>Mực máy photocopy</t>
  </si>
  <si>
    <t>Cặp để tài liệu</t>
  </si>
  <si>
    <t>Hao hụt 5%</t>
  </si>
  <si>
    <t>kW/h</t>
  </si>
  <si>
    <t>KK1</t>
  </si>
  <si>
    <t>KK2</t>
  </si>
  <si>
    <t>KK3</t>
  </si>
  <si>
    <t>I.1</t>
  </si>
  <si>
    <t>I.3</t>
  </si>
  <si>
    <t>III.1</t>
  </si>
  <si>
    <t>III.2</t>
  </si>
  <si>
    <t>III.3</t>
  </si>
  <si>
    <t>IV.1</t>
  </si>
  <si>
    <t>IV.2</t>
  </si>
  <si>
    <t>IV.3</t>
  </si>
  <si>
    <t>IV.4</t>
  </si>
  <si>
    <t>2.1</t>
  </si>
  <si>
    <t>1.1</t>
  </si>
  <si>
    <t>1.2</t>
  </si>
  <si>
    <t>2.2</t>
  </si>
  <si>
    <t>V.1</t>
  </si>
  <si>
    <t>V.2</t>
  </si>
  <si>
    <t>D</t>
  </si>
  <si>
    <t>CÁC NỘI DUNG THỰC HIỆN TẠI ĐỊA BÀN XÃ, THỊ TRẤN</t>
  </si>
  <si>
    <t>Điểm</t>
  </si>
  <si>
    <t>Bộ tài liệu</t>
  </si>
  <si>
    <t>Cuộc</t>
  </si>
  <si>
    <t>Hợp đồng</t>
  </si>
  <si>
    <t>GCN</t>
  </si>
  <si>
    <t>Bộ/đĩa</t>
  </si>
  <si>
    <t>Tờ</t>
  </si>
  <si>
    <t>Công việc chuẩn bị</t>
  </si>
  <si>
    <t>1.3</t>
  </si>
  <si>
    <t>1.4</t>
  </si>
  <si>
    <t>Hướng dẫn lập hồ sơ đề nghị đăng ký, cấp GCN</t>
  </si>
  <si>
    <t>1.4.1</t>
  </si>
  <si>
    <t>Theo hình thức trực tiếp</t>
  </si>
  <si>
    <t>1.4.2</t>
  </si>
  <si>
    <t>Theo hình thức trực tuyến</t>
  </si>
  <si>
    <t>Nhận, kiểm tra tính đầy đủ, hợp lệ và viết giấy biên nhận hoặc trả lại hồ sơ, vào sổ theo dõi nhận, trả hồ sơ (theo hình thức trực tiếp, trực tuyến)</t>
  </si>
  <si>
    <t>Tạo tệp (File) dữ liệu hồ sơ số và nhập thông tin do người sử dụng đất kê khai, đăng ký</t>
  </si>
  <si>
    <t>4</t>
  </si>
  <si>
    <t>5</t>
  </si>
  <si>
    <t>6</t>
  </si>
  <si>
    <t>7</t>
  </si>
  <si>
    <t>8</t>
  </si>
  <si>
    <t>8.1</t>
  </si>
  <si>
    <t>8.2</t>
  </si>
  <si>
    <t>9</t>
  </si>
  <si>
    <t>CÁC NỘI DUNG THỰC HIỆN TẠI ĐỊA BÀN CẤP HUYỆN</t>
  </si>
  <si>
    <t>Trích lục thửa đất</t>
  </si>
  <si>
    <t>Trích lục trên bản đồ dạng số</t>
  </si>
  <si>
    <t>Trích lục trên bản đồ dạng giấy</t>
  </si>
  <si>
    <t>6.1</t>
  </si>
  <si>
    <t>Chuyển, nhận thông tin theo hình thức liên thông</t>
  </si>
  <si>
    <t>6.2</t>
  </si>
  <si>
    <t>Chuyển, nhận thông tin theo hình thức trực tiếp</t>
  </si>
  <si>
    <t>7.1</t>
  </si>
  <si>
    <t>Theo hình thức trực tiếp (gửi về xã, thị trấn để thông báo cho người sử dụng đất)</t>
  </si>
  <si>
    <t>Theo hình thức trực tuyến (gửi cho người sử dụng đất để thực hiện nghĩa vụ tài chính)</t>
  </si>
  <si>
    <t>Nhập thông tin về nghĩa vụ tài chính, đăng ký vào hồ sơ địa chính</t>
  </si>
  <si>
    <t>Chuẩn bị hợp đồng cho thuê đất (nếu có)</t>
  </si>
  <si>
    <t>In GCN</t>
  </si>
  <si>
    <t>10.1</t>
  </si>
  <si>
    <t>Trực tiếp từ cơ sở dữ liệu dạng số</t>
  </si>
  <si>
    <t>Đối với những nơi chưa có bản đồ dạng số</t>
  </si>
  <si>
    <t>Lập và gửi hồ sơ trình ký GCN, lập hồ sơ theo dõi việc gửi tài liệu</t>
  </si>
  <si>
    <t>12</t>
  </si>
  <si>
    <t>13</t>
  </si>
  <si>
    <t>Nhập bổ sung thông tin dữ liệu về GCN</t>
  </si>
  <si>
    <t>14</t>
  </si>
  <si>
    <t>Quét giấy tờ pháp lý và xử lý tập tin</t>
  </si>
  <si>
    <t>Quét giấy tờ pháp lý về quyền sử dụng đất, quyền sở hữu nhà ở và tài sản khác gắn liền với đất</t>
  </si>
  <si>
    <t>Quét trang A3</t>
  </si>
  <si>
    <t>Quét trang A4</t>
  </si>
  <si>
    <t>Xử lý các tệp tin quét thành tệp (File) hồ sơ quét dạng số của thửa đất, lưu trữ dưới khuôn dạng tệp tin PDF</t>
  </si>
  <si>
    <t>Tạo liên kết hồ sơ quét dạng số với thửa đất trong cơ sở dữ liệu</t>
  </si>
  <si>
    <t>15</t>
  </si>
  <si>
    <t>16</t>
  </si>
  <si>
    <t>CÁC NỘI DUNG THỰC HIỆN TẠI ĐỊA BÀN CẤP TỈNH</t>
  </si>
  <si>
    <t>Lập hồ sơ địa chính</t>
  </si>
  <si>
    <t>Hoàn thiện BĐĐC và Sổ mục kê đất đai theo kết quả đăng ký, cấp GCN</t>
  </si>
  <si>
    <t>Lập, hoàn thiện sổ địa chính điện tử</t>
  </si>
  <si>
    <t>Sao, in ấn hồ sơ địa chính để cung cấp cho xã, thị trấn quản lý và khai thác sử dụng</t>
  </si>
  <si>
    <t>Bản đồ địa chính</t>
  </si>
  <si>
    <t>LĐPT</t>
  </si>
  <si>
    <t>Bộ/ đĩa</t>
  </si>
  <si>
    <t>1-5</t>
  </si>
  <si>
    <t>Trích lục thửa đất từ BĐĐC, các loại bản đồ, sơ đồ khác (trường hợp phải trích đo địa chính hoặc chỉnh lý bản đồ thửa đất thì áp dụng định mức theo quy định tại Chương I Phần II)</t>
  </si>
  <si>
    <t>11.1</t>
  </si>
  <si>
    <t>11.2</t>
  </si>
  <si>
    <t>15.1</t>
  </si>
  <si>
    <t>15.2</t>
  </si>
  <si>
    <t>17</t>
  </si>
  <si>
    <t>17.1</t>
  </si>
  <si>
    <t>17.2</t>
  </si>
  <si>
    <t>ĐM Đất</t>
  </si>
  <si>
    <t>ĐM TS</t>
  </si>
  <si>
    <t>ĐM Đất + TS</t>
  </si>
  <si>
    <t>Tạo tệp (File) dữ liệu hồ sơ số và nhập thông tin do người sử dụng đất, quản lý đất kê khai, đăng ký</t>
  </si>
  <si>
    <t>4.1</t>
  </si>
  <si>
    <t>4.2</t>
  </si>
  <si>
    <t>Nhập ý kiến xác nhận của cấp tỉnh vào tệp (File) dữ liệu hồ sơ số</t>
  </si>
  <si>
    <t>4.5</t>
  </si>
  <si>
    <t>Trích lục thửa đất từ BĐĐC, các loại bản đồ, sơ đồ khác (trường hợp phải trích đo địa chính hoặc chỉnh lý bản đồ thửa đất thì áp dụng định mức theo quy định tại Chương I Phần 2)</t>
  </si>
  <si>
    <t>4.5.1</t>
  </si>
  <si>
    <t>4.5.2</t>
  </si>
  <si>
    <t>12.1</t>
  </si>
  <si>
    <t>12.2</t>
  </si>
  <si>
    <t>Hướng dẫn lập hồ sơ đề nghị đăng ký, cấp đổi GCN</t>
  </si>
  <si>
    <t>13.1</t>
  </si>
  <si>
    <t>13.2</t>
  </si>
  <si>
    <t>Hướng dẫn lập hồ sơ đề nghị đăng ký, cấp đổi, cấp lại GCN</t>
  </si>
  <si>
    <t>Nhập thông tin thửa đất, tài sản gắn liền với đất, đăng ký vào hồ sơ địa chính</t>
  </si>
  <si>
    <t>Hướng dẫn lập hồ sơ đề nghị cấp lại hoặc đề nghị cấp đổi GCN</t>
  </si>
  <si>
    <t>Tạo tệp (File) dữ liệu hồ sơ số và nhập thông tin do người sử dụng đất quản lý kê khai, đăng ký</t>
  </si>
  <si>
    <t>Nhập ý kiến nội dung xác nhận của cấp tỉnh vào tệp (File) dữ liệu hồ sơ số</t>
  </si>
  <si>
    <t>Hướng dẫn lập hồ sơ đăng ký biến động đất đai</t>
  </si>
  <si>
    <t>VI</t>
  </si>
  <si>
    <t>VII</t>
  </si>
  <si>
    <t>VII.1</t>
  </si>
  <si>
    <t>VII.2</t>
  </si>
  <si>
    <t>VIII</t>
  </si>
  <si>
    <t>VIII.1</t>
  </si>
  <si>
    <t>VIII.2</t>
  </si>
  <si>
    <t>VIII.3</t>
  </si>
  <si>
    <t>IX.1</t>
  </si>
  <si>
    <t>IX.2</t>
  </si>
  <si>
    <t>IX.3</t>
  </si>
  <si>
    <t>X.1</t>
  </si>
  <si>
    <t>X.2</t>
  </si>
  <si>
    <t>X.3</t>
  </si>
  <si>
    <t>XI</t>
  </si>
  <si>
    <t>TRÍCH LỤC HỒ SƠ ĐỊA CHÍNH</t>
  </si>
  <si>
    <t>Nhận, trả hồ sơ, thu phí, lệ phí</t>
  </si>
  <si>
    <t>Trích lục từ hồ sơ địa chính số</t>
  </si>
  <si>
    <t>Trích sao từ hồ sơ địa chính giấy</t>
  </si>
  <si>
    <t>Trích sao thông tin địa chính</t>
  </si>
  <si>
    <t>3.1</t>
  </si>
  <si>
    <t>Trích sao từ hồ sơ địa chính số</t>
  </si>
  <si>
    <t>3.2</t>
  </si>
  <si>
    <t>GHI CHÚ</t>
  </si>
  <si>
    <t>X.4</t>
  </si>
  <si>
    <t>Cột “ĐM Đất” áp dụng cho trường hợp đăng ký, cấp GCN đối với đất; cột “ĐM TS” áp dụng cho trường hợp đăng ký, cấp GCN đối với tài sản; cột “ĐM Đất + TS” áp dụng đối với trường hợp đăng ký, cấp GCN đối với cả đất và tài sản gắn liền với đất.</t>
  </si>
  <si>
    <t>Trường hợp nhiều thửa đất nông nghiệp lập chung trong 1 hồ sơ và cấp chung trong một GCN thì ngoài mức được tính ở trên, mỗi thửa đất tăng thêm được tính mức bằng 0,30 lần định mức quy định đối với Mục 2, 3, 4, 5, 6, 7, 8, 9 các nội dung thực hiện tại địa bàn xã, thị trấn; Mục 1, 2, 3, 4, 5, 6, 7, 8, 9, 10 các nội dung thực hiện tại địa bàn cấp huyện; Mục 1 các nội dung thực hiện tại cấp tỉnh của Bảng 8.</t>
  </si>
  <si>
    <t>Đối với các hồ sơ không đủ điều kiện cấp GCN thì được tính định mức đối với Mục 1, 2, 3, 4, 5, 6, 7, 8, 9 các nội dung thực hiện tại địa bàn xã, thị trấn; Mục 1, 2, 4, 5, 9, 15 các nội dung thực hiện tại địa bàn cấp huyện; mục 1 các nội dung thực hiện tại địa bàn cấp tỉnh của Bảng 8.</t>
  </si>
  <si>
    <t>Trường hợp có kê khai đăng ký nhưng người sử dụng đất không có nhu cầu cấp GCN thì định mức được tính bằng 90% định mức lao động đối với trường hợp cấp GCN tại Bảng 8.</t>
  </si>
  <si>
    <t>Trường hợp người sử dụng đất đã đăng ký đất đai theo quy định của pháp luật mà có nhu cầu cấp GCN thì được tính định mức đối với Mục 1, 2, 3, 10,11 các nội dung thực hiện tại địa bàn xã, thị trấn; Mục 1.1, 2, 3, 6, 7, 8, 9, 10, 11, 12, 13, 14, 15, 16, 17 các nội dung thực hiện tại địa bàn cấp huyện; Mục 1 nội dung thực hiện tại địa bàn cấp tỉnh của Bảng 8.</t>
  </si>
  <si>
    <t>Trường hợp kê khai đăng ký nhưng không thuộc trường hợp phải cấp GCN thì định mức được tính bằng 50% mức đối với trường hợp cấp GCN quy định tại Bảng 9.</t>
  </si>
  <si>
    <t>Trường hợp kê khai đăng ký, nhưng người sử dụng đất không có nhu cầu cấp GCN thì định mức được tính bằng 90% định mức lao động đối với trường hợp cấp GCN tại Bảng 9.</t>
  </si>
  <si>
    <t>Trường hợp người sử dụng đất đã đăng ký đất đai theo quy định của pháp luật mà có nhu cầu cấp GCN thì được tính định mức đối với Mục 1, 2, 3, 5, 6, 7, 8, 9, 10, 11, 12, 13, 14 các nội dung thực hiện tại địa bàn cấp tỉnh và các nội dung thực hiện tại địa bàn cấp huyện, xã, thị trấn của Bảng 9.</t>
  </si>
  <si>
    <t>VII.3</t>
  </si>
  <si>
    <t>Trường hợp nhiều thửa đất nông nghiệp lập chung trong 1 hồ sơ và cấp chung trong một GCN thì ngoài mức được tính ở trên, mỗi thửa đất tăng thêm được tính mức bằng 0,30 lần định mức quy định đối với Mục 1, 2, 3, 4, 5, 6, 7, 8, 9, 10, 11 các nội dung thực hiện tại địa bàn cấp huyện của Bảng 12.</t>
  </si>
  <si>
    <t>Trường hợp thửa đất đã cấp GCN mà có thay đổi về mục đích sử dụng đất, ranh giới thửa đất thì áp dụng theo định mức như đối với trường hợp cấp GCN riêng lẻ lần đầu.</t>
  </si>
  <si>
    <t>Trường hợp cấp đổi GCN đối với thửa đất có biến động khác về quyền sử dụng đất, tài sản gắn liền với đất (chuyển quyền sử dụng đất, thay đổi về tài sản gắn liền với đất, v.v...) thì định mức lao động quy định tại Mục 4 các nội dung thực hiện tại địa bàn cấp huyện Bảng 12 được tính bằng 1,5 lần.</t>
  </si>
  <si>
    <t>Trường hợp có kê khai đăng ký, nhưng người sử dụng đất không đổi GCN thì định mức được tính bằng 90% định mức quy định đối với trường hợp cấp đổi GCN tại Bảng 12.</t>
  </si>
  <si>
    <t>Trường hợp cấp đổi GCN đồng thời với thực hiện thủ tục đăng ký biến động đất đai thì áp dụng theo định mức đăng ký biến động đất đai quy định tại Mục IX Chương II, Phần II.</t>
  </si>
  <si>
    <t>VIII.4</t>
  </si>
  <si>
    <t>Trường hợp có kê khai đăng ký, nhưng người sử dụng đất không đổi GCN thì định mức được tính bằng 90% định mức đối với trường hợp cấp GCN quy định tại Bảng 13.</t>
  </si>
  <si>
    <t>Trường hợp cấp đổi GCN đồng thời với thực hiện thủ tục đăng ký biến động đất đai thì áp dụng theo định mức đăng ký biến động đất đai quy định tại Mục X, Chương II, Phần II.</t>
  </si>
  <si>
    <t>IX.4</t>
  </si>
  <si>
    <t>Trường hợp đăng ký biến động đất đai mà thực hiện cấp mới GCN thì áp dụng định mức của Bảng 14. Trường hợp đăng ký biến động đất đai mà không thực hiện cấp mới GCN thì áp dụng theo quy định tại Bảng 15 sau đây:</t>
  </si>
  <si>
    <t>Thế chấp hoặc thay đổi nội dung thế chấp bằng quyền sử dụng đất, tài sản gắn liền với đất, thế chấp tài sản gắn liền với đất hình thành trong tương lai</t>
  </si>
  <si>
    <t>Xóa đăng ký thế chấp bằng quyền sử dụng đất, tài sản gắn liền với đất, thế chấp tài sản gắn liền với đất hình thành trong tương lai</t>
  </si>
  <si>
    <t>Thay đổi diện tích do sạt lở tự nhiên một phần thửa đất</t>
  </si>
  <si>
    <t>Trường hợp đo đạc lại thửa đất mà có thay đổi diện tích, số hiệu thửa đất, số hiệu tờ bản đồ</t>
  </si>
  <si>
    <t>Thay đổi tên đơn vị hành chính, điều chỉnh địa giới hành chính theo quyết định của cơ quan nhà nước có thẩm quyền</t>
  </si>
  <si>
    <t>Cho thuê, cho thuê lại quyền sử dụng đất, tài sản gắn liền với đất</t>
  </si>
  <si>
    <t>Xóa đăng ký cho thuê, cho thuê lại đất tài sản gắn liền với đất</t>
  </si>
  <si>
    <t>Chuyển đổi quyền sử dụng đất</t>
  </si>
  <si>
    <t>Chuyển nhượng quyền sử dụng đất, quyền sở hữu tài sản gắn liền với đất</t>
  </si>
  <si>
    <t>Thừa kế quyền sử dụng đất, quyền sở hữu tài sản gắn liền với đất</t>
  </si>
  <si>
    <t>Tặng cho quyền sử dụng đất, quyền sở hữu tài sản gắn liền với đất</t>
  </si>
  <si>
    <t>Góp vốn bằng quyền sử dụng đất, tài sản gắn liền với đất</t>
  </si>
  <si>
    <t>Xóa đăng ký góp vốn bằng quyền sử dụng đất, tài sản gắn liền với đất</t>
  </si>
  <si>
    <t>Chuyển quyền sử dụng đất, tài sản gắn liền với đất theo thỏa thuận xử lý nợ thế chấp</t>
  </si>
  <si>
    <t>Chuyển quyền sử dụng đất, tài sản gắn liền với đất theo kết quả giải quyết tranh chấp đất đai</t>
  </si>
  <si>
    <t>Chuyển quyền sử dụng đất, tài sản gắn liền với đất theo quyết định giải quyết khiếu nại, tố cáo về đất đai</t>
  </si>
  <si>
    <t>Chuyển quyền sử dụng cả thửa đất, tài sản gắn liền với đất theo bản án, quyết định của tòa án, quyết định của cơ quan thi hành án</t>
  </si>
  <si>
    <t>18</t>
  </si>
  <si>
    <t>Chuyển quyền sử dụng đất, tài sản gắn liền với đất theo kết quả đấu giá đất</t>
  </si>
  <si>
    <t>19</t>
  </si>
  <si>
    <t>Người sử dụng đất, chủ sở hữu tài sản gắn liền với đất đổi tên, nhân thân hoặc địa chỉ</t>
  </si>
  <si>
    <t>20</t>
  </si>
  <si>
    <t>Chuyển đổi hộ gia đình, cá nhân sử dụng đất thành tổ chức kinh tế của hộ gia đình cá nhân đó mà không thuộc trường hợp chuyển nhượng quyền sử dụng đất, quyền sở hữu tài sản gắn liền với đất</t>
  </si>
  <si>
    <t>21</t>
  </si>
  <si>
    <t>Xác lập hoặc thay đổi, chấm dứt quyền sử dụng hạn chế thửa đất liền kề</t>
  </si>
  <si>
    <t>22</t>
  </si>
  <si>
    <t>Chuyển mục đích sử dụng toàn bộ thửa đất</t>
  </si>
  <si>
    <t>23</t>
  </si>
  <si>
    <t>Gia hạn sử dụng đất (kể cả trường hợp tiếp tục sử dụng đất nông nghiệp của hộ gia đình, cá nhân)</t>
  </si>
  <si>
    <t>24</t>
  </si>
  <si>
    <t>Chuyển từ hình thức thuê đất sang hình thức giao đất có thu tiền sử dụng đất hoặc chuyển từ hình thức thuê đất trả tiền hàng năm sang hình thức thuê đất trả tiền một lần hoặc chuyển từ hình thức Nhà nước giao đất không thu tiền sang hình thức giao đất có thu tiền hay thuê đất</t>
  </si>
  <si>
    <t>25</t>
  </si>
  <si>
    <t>Thay đổi thông tin về tài sản gắn liền với đất đã ghi trên GCN hoặc đã thể hiện trong cơ sở dữ liệu</t>
  </si>
  <si>
    <t>26</t>
  </si>
  <si>
    <t>Có thay đổi đối với những hạn chế về quyền sử dụng đất, tài sản gắn liền với đất</t>
  </si>
  <si>
    <t>27</t>
  </si>
  <si>
    <t>Phát hiện có sai sót, nhầm lẫn về nội dung thông tin trong hồ sơ địa chính và trên GCN</t>
  </si>
  <si>
    <t>28</t>
  </si>
  <si>
    <t>Thu hồi quyền sử dụng đất</t>
  </si>
  <si>
    <t>29</t>
  </si>
  <si>
    <t>Ghi nợ và xóa nợ về nghĩa vụ tài chính</t>
  </si>
  <si>
    <t>Loại biến động</t>
  </si>
  <si>
    <t>Các bước công việc được áp dụng của Bảng 14</t>
  </si>
  <si>
    <t>Hệ số áp dụng cho các mục 3, 5, 8, 12 của Bảng 14</t>
  </si>
  <si>
    <t>Trường hợp đăng ký biến động đất đai mà thực hiện cấp mới GCN thì áp dụng định mức của Bảng 16. Trường hợp đăng ký biến động đất đai mà không thực hiện cấp mới GCN thì áp dụng theo quy định tại Bảng 17 sau đây:</t>
  </si>
  <si>
    <t>Thay đổi tên đơn vị hành chính, điều chỉnh địa giới hành chính theo quyết định của cơ quan nhà nước có thẩm quyền;</t>
  </si>
  <si>
    <t>Cho thuê, cho thuê lại quyền sử dụng đất (trừ trường hợp cho thuê, cho thuê lại quyền sử dụng đất trong khu công nghiệp, cụm công nghiệp, khu chế xuất, khu công nghệ cao, khu kinh tế), tài sản gắn liền với đất</t>
  </si>
  <si>
    <t>Trường hợp chuyển đổi công ty; chia, tách, hợp nhất, sáp nhập doanh nghiệp</t>
  </si>
  <si>
    <t>Người sử dụng đất, chủ sở hữu tài sản gắn liền với đất đổi tên, thay đổi thông tin về giấy tờ pháp nhân, nhân thân hoặc địa chỉ</t>
  </si>
  <si>
    <t>Chủ đầu tư xây dựng nhà chung cư bán căn hộ và làm thủ tục đăng ký biến động đợt đầu</t>
  </si>
  <si>
    <t>Gia hạn sử dụng đất</t>
  </si>
  <si>
    <t>Các bước công việc được áp dụng của Bảng 16</t>
  </si>
  <si>
    <t>Hệ số áp dụng cho các mục 3, 5, 8, 12 của Bảng 16</t>
  </si>
  <si>
    <t>Ghi chú:</t>
  </si>
  <si>
    <t>Trường hợp trích lục hồ sơ cho 01 khu đất (gồm nhiều thửa) mức áp dụng như sau:</t>
  </si>
  <si>
    <t>ĐỊNH BIÊN.LƯƠNG NGÀY THEO CÔNG VIỆC</t>
  </si>
  <si>
    <t>Công nhóm</t>
  </si>
  <si>
    <t>Lương nhóm</t>
  </si>
  <si>
    <t>T.số</t>
  </si>
  <si>
    <t>Bảng 6</t>
  </si>
  <si>
    <t>Bảng 7</t>
  </si>
  <si>
    <t>Bảng 8</t>
  </si>
  <si>
    <t>Bảng 9</t>
  </si>
  <si>
    <t>Bảng 10</t>
  </si>
  <si>
    <t>Bảng 11</t>
  </si>
  <si>
    <t>Bảng 12</t>
  </si>
  <si>
    <t>Bảng 13</t>
  </si>
  <si>
    <t>Bảng 14</t>
  </si>
  <si>
    <t>Bảng 16</t>
  </si>
  <si>
    <t>Bảng 15</t>
  </si>
  <si>
    <t>Bảng 17</t>
  </si>
  <si>
    <t>Bảng 18</t>
  </si>
  <si>
    <t>Lương
nhóm</t>
  </si>
  <si>
    <t>Ăn ca</t>
  </si>
  <si>
    <t>LĐKT</t>
  </si>
  <si>
    <t>0,3</t>
  </si>
  <si>
    <t>PCKV 0.1</t>
  </si>
  <si>
    <t>Ăn trưa</t>
  </si>
  <si>
    <t>ĐM
Đất+TS</t>
  </si>
  <si>
    <t>ĐM
TS</t>
  </si>
  <si>
    <t>ĐM
Đất</t>
  </si>
  <si>
    <t>ĐVT: Đồng</t>
  </si>
  <si>
    <r>
      <t xml:space="preserve">Định mức </t>
    </r>
    <r>
      <rPr>
        <i/>
        <sz val="12"/>
        <color indexed="12"/>
        <rFont val="Times New Roman"/>
        <family val="1"/>
      </rPr>
      <t>(ca/hồ sơ)</t>
    </r>
  </si>
  <si>
    <t>Tại địa bàn xã, thị trấn</t>
  </si>
  <si>
    <t>Tại địa bàn cấp huyện</t>
  </si>
  <si>
    <t>Tại địa bàn cấp tỉnh</t>
  </si>
  <si>
    <t>Đồng hồ treo tường</t>
  </si>
  <si>
    <t>Cái</t>
  </si>
  <si>
    <t>Ghế tựa</t>
  </si>
  <si>
    <t>Tủ tài liệu</t>
  </si>
  <si>
    <t>Thước nhựa 30 cm</t>
  </si>
  <si>
    <t>Máy tính tay</t>
  </si>
  <si>
    <t>Bàn đục lỗ</t>
  </si>
  <si>
    <t>Bàn dập ghim bé</t>
  </si>
  <si>
    <t>Bàn dập ghim to</t>
  </si>
  <si>
    <t>Kéo cắt giấy</t>
  </si>
  <si>
    <t>Áo blu</t>
  </si>
  <si>
    <t>Đôi</t>
  </si>
  <si>
    <t>Cặp tài liệu (trình ký)</t>
  </si>
  <si>
    <t>Quạt trần 100W</t>
  </si>
  <si>
    <t>Đèn neon 40W</t>
  </si>
  <si>
    <t>Bộ</t>
  </si>
  <si>
    <t>kW</t>
  </si>
  <si>
    <t>GIÁ DỤNG CỤ</t>
  </si>
  <si>
    <t>Máy in laser A4</t>
  </si>
  <si>
    <t>Máy photocopy A0</t>
  </si>
  <si>
    <t>Máy in laser A3</t>
  </si>
  <si>
    <t>Máy SCAN A3</t>
  </si>
  <si>
    <t>GIÁ THIẾT BỊ</t>
  </si>
  <si>
    <t>GIÁ VẬT LIỆU</t>
  </si>
  <si>
    <t>Ghim vòng</t>
  </si>
  <si>
    <t>Hộp</t>
  </si>
  <si>
    <t>Ghim dập</t>
  </si>
  <si>
    <t>Mực in laser (A4)</t>
  </si>
  <si>
    <t>Mực máy photocopy A3</t>
  </si>
  <si>
    <t>Mực in laser (A3)</t>
  </si>
  <si>
    <t>Giấy A4</t>
  </si>
  <si>
    <t>Ram</t>
  </si>
  <si>
    <t>Giấy A3</t>
  </si>
  <si>
    <t>Chiếc</t>
  </si>
  <si>
    <t>Bút xóa</t>
  </si>
  <si>
    <t>Bút đánh dấu</t>
  </si>
  <si>
    <t>Bìa sổ A3</t>
  </si>
  <si>
    <t>Cặp</t>
  </si>
  <si>
    <t>Đĩa CD</t>
  </si>
  <si>
    <t>Đĩa</t>
  </si>
  <si>
    <t>Túi đựng hồ sơ</t>
  </si>
  <si>
    <t>Mực in cho máy Plotter</t>
  </si>
  <si>
    <t>Giấy in bản đồ Ao</t>
  </si>
  <si>
    <t>Mực photocoppy A0</t>
  </si>
  <si>
    <t>500 ca/năm</t>
  </si>
  <si>
    <t>Máy vi tính</t>
  </si>
  <si>
    <t>Điều hòa nhiệt độ</t>
  </si>
  <si>
    <t>Máy in phun A0</t>
  </si>
  <si>
    <t>ĐVT: đồng</t>
  </si>
  <si>
    <r>
      <t xml:space="preserve">Định mức </t>
    </r>
    <r>
      <rPr>
        <i/>
        <sz val="12"/>
        <color indexed="12"/>
        <rFont val="Times New Roman"/>
        <family val="1"/>
      </rPr>
      <t>(tính cho 1 hồ sơ</t>
    </r>
  </si>
  <si>
    <t>Nguyên
giá</t>
  </si>
  <si>
    <t>(1) Định mức vật liệu trên tính cho trường hợp đăng ký đất hoặc trường hợp đăng ký đồng thời cả đất và tài sản.</t>
  </si>
  <si>
    <t>(2) Trường hợp phải chuẩn bị Hợp đồng cho thuê đất, mức vật liệu là: 0,02 Ram giấy A4 và 0,004 hộp mực A4 (mức này được áp dụng chung cho các trường hợp lập hợp đồng cho thuê đất).</t>
  </si>
  <si>
    <t>(3) Đối với xã, thị trấn xây dựng cơ sở dữ liệu địa chính thì trong công việc đăng ký, cấp GCN không được tính mức vật liệu cho các nội dung thực hiện tại địa bàn cấp tỉnh quy định tại Bảng 67.</t>
  </si>
  <si>
    <t>(2) Định mức trên đây tính đối với việc đăng ký, cấp GCN về quyền sử dụng đất. Trường hợp đăng ký, cấp GCN đối với cả đất và tài sản gắn liền với đất thì định mức tính cho 1 hồ sơ đăng ký cả đất và tài sản bằng 1,6 lần định mức cho 1 hồ sơ đăng ký đối với đất. Trường hợp đăng ký riêng đối với tài sản thì định mức tính cho 1 hồ sơ đăng ký đối với tài sản bằng định mức cho 1 hồ sơ đăng ký đối với đất.</t>
  </si>
  <si>
    <t>(4) Trường hợp nhiều thửa đất nông nghiệp được cấp chung trong một GCN thì ngoài mức được tính ở trên cứ mỗi thửa đất tăng thêm được tính bằng 0,20 đối với các nội dung thực hiện tại địa bàn xã, thị trấn và 0,30 đối với các nội dung thực hiện tại địa bàn cấp huyện.</t>
  </si>
  <si>
    <t>KK4</t>
  </si>
  <si>
    <t>KK5</t>
  </si>
  <si>
    <t>(3) Trường hợp phải chuẩn bị hợp đồng cho thuê đất, mức dụng cụ tính bằng 0,003 mức dụng cụ thực hiện tại địa bàn cấp huyện.</t>
  </si>
  <si>
    <t>(4) Đối với phường xây dựng cơ sở dữ liệu địa chính thì trong công việc đăng ký, cấp GCN không được tính mức dụng cụ cho địa bàn cấp tỉnh quy định tại Bảng 68 và Bảng 69.</t>
  </si>
  <si>
    <t>(5) Trường hợp đăng ký nhưng không thuộc trường hợp phải cấp GCN thì được tính mức bằng 50% mức quy định tại Bảng 68 và Bảng 69.</t>
  </si>
  <si>
    <t>Trường hợp đăng ký nhưng không có nhu cầu cấp GCN hoặc không đủ điều kiện được cấp GCN thì được tính mức bằng 90% mức quy định tại Bảng 68 và Bảng 69.</t>
  </si>
  <si>
    <t>(6) Trường hợp nhiều thửa đất nông nghiệp được cấp chung trong một GCN thì ngoài mức được tính ở trên cứ mỗi thửa đất tăng thêm được tính thêm 0,30 lần định mức cho các nội dung thực hiện tại phường và các nội dung thực hiện tại địa bàn cấp huyện.</t>
  </si>
  <si>
    <t>(1) Mức dụng cụ được tính chung cho các loại khó khăn.</t>
  </si>
  <si>
    <t>(2) Định mức dụng cụ trên áp dụng cho trường hợp đăng ký đất hoặc trường hợp đăng ký tài sản; trường hợp đăng ký cả đất và tài sản thì mức dụng cụ được tính bằng hệ số là 1,3 mức dụng cụ ở Bảng 72.</t>
  </si>
  <si>
    <t>Trường hợp nộp hồ sơ tại địa bàn xã, thị trấn</t>
  </si>
  <si>
    <t>Trường hợp nộp hồ sơ tại cấp huyện</t>
  </si>
  <si>
    <t>(1) Định mức thiết bị được tính chung cho các loại khó khăn,</t>
  </si>
  <si>
    <t>(2) Định mức thiết bị trên áp dụng cho trường hợp đăng ký đất hoặc trường hợp đăng ký tài sản; trường hợp đăng ký cả đất và tài sản thì mức thiết bị được tính bằng hệ số là 1,3 mức thiết bị ở Bảng 73.</t>
  </si>
  <si>
    <t>Giấy làm bìa hồ sơ (A3)</t>
  </si>
  <si>
    <t xml:space="preserve">Ghi chú: </t>
  </si>
  <si>
    <t>Định mức vật liệu tại Bảng 74 áp dụng cho các trường hợp đăng ký đất hoặc đăng ký tài sản hoặc đăng ký cả đất và tài sản.</t>
  </si>
  <si>
    <t>(2) Định mức dụng cụ trên áp dụng cho trường hợp đăng ký đất hoặc trường hợp đăng ký tài sản; trường hợp đăng ký cả đất và tài sản thì mức dụng cụ được tính bằng hệ số là 1,3 mức dụng cụ của Bảng 75.</t>
  </si>
  <si>
    <t>Bảng 76</t>
  </si>
  <si>
    <t>(2) Định mức trên đây tính đối với việc đăng ký, cấp GCN về quyền sử dụng đất. Trường hợp đăng ký, cấp GCN đối với cả đất và tài sản gắn liền với đất thì định mức tính cho 1 hồ sơ đăng ký cả đất và tài sản bằng 1,3 lần định mức cho 1 hồ sơ đăng ký đối với đất. Trường hợp đăng ký riêng đối với tài sản thì định mức tính cho 1 hồ sơ đăng ký đối với tài sản bằng định mức cho 1 hồ sơ đăng ký đối với đất.</t>
  </si>
  <si>
    <t>(5) Trường hợp nhiều thửa đất nông nghiệp được cấp chung trong một GCN thì ngoài mức được tính ở trên cứ mỗi thửa đất tăng thêm được tính bằng 0,20 đối với các nội dung thực hiện tại địa bàn xã, thị trấn và 0,30 đối với các nội dung thực hiện tại địa bàn cấp huyện.</t>
  </si>
  <si>
    <t>(6) Trường hợp đăng ký nhưng không có nhu cầu đổi GCN hoặc không đủ điều kiện cấp đổi GCN thì được tính mức bằng 90% mức quy định tại Bảng 78 và Bảng 79.</t>
  </si>
  <si>
    <t>Máy photocopy A3</t>
  </si>
  <si>
    <t>Định mức
(ca/hồ sơ)</t>
  </si>
  <si>
    <t>(1) Định mức tại Bảng 80 tính đối với việc đăng ký, cấp GCN về quyền sử dụng đất. Trường hợp đăng ký, cấp GCN đối với cả đất và tài sản gắn liền với đất thì định mức tính cho 1 hồ sơ đăng ký cả đất và tài sản bằng 1,3 lần định mức cho 1 hồ sơ đăng ký đối với đất. Trường hợp đăng ký riêng đối với tài sản thì định mức tính cho 1 hồ sơ đăng ký đối với tài sản bằng định mức cho 1 hồ sơ đăng ký đối với đất.</t>
  </si>
  <si>
    <t>(2) Đối với xã, thị trấn xây dựng cơ sở dữ liệu địa chính thì trong công việc đăng ký, cấp đổi GCN không được tính mức thiết bị tại địa bàn cấp tỉnh quy định tại Bảng 80.</t>
  </si>
  <si>
    <t>(3) Trường hợp nhiều thửa đất nông nghiệp được cấp chung trong một GCN thì ngoài mức được tính ở trên cứ mỗi thửa đất tăng thêm được tính bằng 0,20 đối với các nội dung thực hiện tại địa bàn xã, thị trấn và 0,30 đối với các nội dung thực hiện tại địa bàn cấp huyện.</t>
  </si>
  <si>
    <t>(4) Trường hợp đăng ký nhưng không có nhu cầu đổi GCN hoặc không đủ điều kiện cấp đổi GCN thì được tính mức bằng 90% mức quy định tại Bảng 80.</t>
  </si>
  <si>
    <t>Bảng 80</t>
  </si>
  <si>
    <t>(2) Đối với xã, thị trấn xây dựng cơ sở dữ liệu địa chính thì trong công việc đăng ký, cấp đổi GCN không được tính mức vật liệu tại địa bàn cấp tỉnh quy định tại Bảng 81.</t>
  </si>
  <si>
    <t>(3) Trường hợp phải chuẩn bị Hợp đồng cho thuê đất, mức vật liệu là: 0,02 Ram giấy A4 và 0,004 hộp mực A4 (mức này được áp dụng chung cho các trường hợp lập Hợp đồng cho thuê đất).</t>
  </si>
  <si>
    <t>Bảng 81</t>
  </si>
  <si>
    <t>Bảng 82</t>
  </si>
  <si>
    <t>(3) Trường hợp phải chuẩn bị Hợp đồng cho thuê đất, mức dụng cụ tính bằng 0,003 mức dụng cụ tại địa bàn cấp huyện.</t>
  </si>
  <si>
    <t>(4) Đối với phường xây dựng cơ sở dữ liệu địa chính thì trong công việc đăng ký, cấp đổi GCN không được tính mức dụng cụ tại địa bàn cấp tỉnh quy định tại Bảng 82 và Bảng 83.</t>
  </si>
  <si>
    <t>(5) Trường hợp nhiều thửa đất nông nghiệp được cấp chung trong một GCN thì ngoài mức được tính ở trên cứ mỗi thửa đất tăng thêm được tính thêm 0,20 lần định mức tại địa bàn cấp huyện.</t>
  </si>
  <si>
    <t>(6) Trường hợp đăng ký nhưng không có nhu cầu đổi GCN hoặc không đủ điều kiện cấp đổi GCN thì được tính mức bằng 90% mức quy định tại Bảng 82 và Bảng 83.</t>
  </si>
  <si>
    <t>Bảng 86</t>
  </si>
  <si>
    <t>Bảng 87</t>
  </si>
  <si>
    <t>(1) Mức thiết bị được tính chung cho các loại khó khăn.</t>
  </si>
  <si>
    <t>(2) Định mức thiết bị trên áp dụng cho trường hợp đăng ký đất hoặc trường hợp đăng ký tài sản. Trường hợp đăng ký cả đất và tài sản thì mức thiết bị được tính bằng hệ số là 1,3 mức thiết bị của Bảng 87.</t>
  </si>
  <si>
    <t>Bảng 88</t>
  </si>
  <si>
    <t>(2) Định mức dụng cụ trên áp dụng cho trường hợp đăng ký đất hoặc trường hợp đăng ký tài sản. Trường hợp đăng ký cả đất và tài sản thì mức dụng cụ được tính bằng hệ số là 1,3 mức dụng cụ của Bảng 89.</t>
  </si>
  <si>
    <t>Bảng 90</t>
  </si>
  <si>
    <t>(2) Định mức thiết bị trên áp dụng cho trường hợp đăng ký đất hoặc trường hợp đăng ký tài sản. Trường hợp đăng ký cả đất và tài sản thì mức thiết bị được tính bằng hệ số là 1,3 mức thiết bị của Bảng 90.</t>
  </si>
  <si>
    <t>Bảng 91</t>
  </si>
  <si>
    <r>
      <rPr>
        <b/>
        <sz val="12"/>
        <rFont val="Times New Roman"/>
        <family val="1"/>
        <charset val="163"/>
      </rPr>
      <t xml:space="preserve">Ghi chú: </t>
    </r>
    <r>
      <rPr>
        <sz val="12"/>
        <rFont val="Times New Roman"/>
        <family val="1"/>
      </rPr>
      <t>Định mức vật liệu trên áp dụng cho các trường hợp đăng ký đất hoặc đăng ký tài sản hoặc đăng ký cả đất và tài sản</t>
    </r>
  </si>
  <si>
    <t>(2) Định mức dụng cụ trên áp dụng cho trường hợp đăng ký đất hoặc trường hợp đăng ký tài sản; trường hợp đăng ký cả đất và tài sản thì mức dụng cụ được tính bằng hệ số là 1,3 mức dụng cụ của Bảng 92.</t>
  </si>
  <si>
    <t>(3) Trường hợp đăng ký biến động đất đai mà thực hiện cấp mới GCN thì áp dụng mức dụng cụ của Bảng 92. Trường hợp đăng ký biến động đất đai mà không thực hiện cấp mới GCN thì được tính bằng 0,6 lần mức dụng cụ của Bảng 92 trên.</t>
  </si>
  <si>
    <t>Bảng 93</t>
  </si>
  <si>
    <t>(2) Định mức thiết bị trên áp dụng cho cả trường hợp đăng ký đất hoặc trường hợp đăng ký tài sản. Trường hợp đăng ký cả đất và tài sản thì mức thiết bị được tính bằng hệ số là 1,3 mức thiết bị của Bảng 93.</t>
  </si>
  <si>
    <t>(3) Trường hợp đăng ký biến động đất đai mà thực hiện cấp mới GCN thì áp dụng mức thiết bị của Bảng 93. Trường hợp đăng ký biến động đất đai mà không thực hiện cấp mới GCN thì được tính bằng 0,6 lần mức thiết bị của Bảng 93 trên.</t>
  </si>
  <si>
    <t>Bảng 94</t>
  </si>
  <si>
    <t>(2) Trường hợp đăng ký biến động đất đai mà thực hiện cấp mới GCN thì áp dụng mức vật liệu của Bảng 94. Trường hợp đăng ký biến động đất đai mà không thực hiện cấp mới GCN thì được tính bằng 0,6 lần mức vật liệu của Bảng 94 trên và không được tính vật liệu là mẫu trích lục bản đồ và GCN, trừ trường hợp biến động có thay đổi diện tích mà cần phải trích lục bản đồ.</t>
  </si>
  <si>
    <t>(1) Định mức vật liệu trên áp dụng cho các trường hợp đăng ký đất hoặc đăng ký tài sản hoặc đăng ký cả đất và tài sản.</t>
  </si>
  <si>
    <t>Bảng 96</t>
  </si>
  <si>
    <t>(2) Định mức thiết bị trên áp dụng cho cả trường hợp đăng ký đất hoặc trường hợp đăng ký tài sản; trường hợp đăng ký cả đất và tài sản thì mức thiết bị được tính bằng hệ số là 1,3 mức thiết bị của Bảng 96.</t>
  </si>
  <si>
    <t>(3) Trường hợp đăng ký biến động đất đai mà thực hiện cấp mới GCN thì áp dụng mức thiết bị của Bảng 96. Trường hợp đăng ký biến động đất đai mà không thực hiện cấp mới GCN thì được tính bằng 0,6 lần mức thiết bị của Bảng 96 trên.</t>
  </si>
  <si>
    <t>2) Mức vật liệu cho công việc tại địa bàn xã, thị trấn được tính bằng 0,02 mức quy định tại Bảng 97.</t>
  </si>
  <si>
    <t>(3) Trường hợp đăng ký biến động đất đai mà thực hiện cấp mới GCN thì áp dụng mức vật liệu của Bảng 97. Trường hợp đăng ký biến động đất đai mà không thực hiện cấp mới GCN thì được tính bằng 0,6 lần mức vật liệu của Bảng 97 trên và không được tính vật liệu là mẫu trích lục bản đồ và GCN, trừ trường hợp biến động có thay đổi diện tích mà cần phải trích lục bản đồ.</t>
  </si>
  <si>
    <t>Hòm sắt đựng tài liệu</t>
  </si>
  <si>
    <t>Ống đựng bản đồ</t>
  </si>
  <si>
    <t>- Dưới 05 thửa: Mức cho một thửa tính bằng 0,80 mức quy định tại Bảng 98.</t>
  </si>
  <si>
    <t>- Từ 05 thửa đến 10 thửa: Mức cho một thửa tính bằng 0,65 mức quy định tại Bảng 98.</t>
  </si>
  <si>
    <t>- Trên 10 thửa: Mức cho một thửa tính bằng 0,50 mức quy định tại Bảng 98.</t>
  </si>
  <si>
    <t>- Dưới 05 thửa: Mức cho một thửa tính bằng 0,80 mức quy định tại Bảng 99.</t>
  </si>
  <si>
    <t>- Từ 05 thửa đến 10 thửa: Mức cho một thửa tính bằng 0,65 mức quy định tại Bảng 99.</t>
  </si>
  <si>
    <t>- Trên 10 thửa: Mức cho một thửa tính bằng 0,50 mức quy định tại Bảng 99.</t>
  </si>
  <si>
    <t>Bảng 99</t>
  </si>
  <si>
    <t>Bảng 100</t>
  </si>
  <si>
    <t>- Dưới 05 thửa: Mức cho một thửa tính bằng 0,80 mức quy định tại Bảng 100.</t>
  </si>
  <si>
    <t>- Từ 05 thửa đến 10 thửa: Mức cho một thửa tính bằng 0,65 mức quy định tại Bảng 100.</t>
  </si>
  <si>
    <t>- Trên 10 thửa: Mức cho một thửa tính bằng 0,50 mức quy định tại Bảng 100./.</t>
  </si>
  <si>
    <t>Thành tiền
(hồ sơ)</t>
  </si>
  <si>
    <t>PCKV 0,1</t>
  </si>
  <si>
    <t>(hồ sơ)</t>
  </si>
  <si>
    <t>Thành tiền (hồ sơ)</t>
  </si>
  <si>
    <t>Chi phí
năng
lượng</t>
  </si>
  <si>
    <t>Chi phí
khấu
hao</t>
  </si>
  <si>
    <t>Số hồ sơ/xã=8000 hs; Số hồ sơ/xã=5000 hs; Soos điểm đăng ký/xã, phường=10; Số tờ bản đồ/xã, phường=60 tờ.</t>
  </si>
  <si>
    <t>(3) Trường hợp phải chuẩn bị hợp đồng cho thuê đất, mức dụng cụ tính bằng 0,003 mức dụng cụ tại địa bàn cấp huyện (mức này được áp dụng chung cho các trường hợp lập hợp đồng cho thuê đất).</t>
  </si>
  <si>
    <t xml:space="preserve">Hòm sắt đựng tài liệu, khoá </t>
  </si>
  <si>
    <t>Đĩa  CD( cơ số 2)</t>
  </si>
  <si>
    <t>Đĩa  CD( cơ số 3)</t>
  </si>
  <si>
    <t>Giấy CNQSDĐ</t>
  </si>
  <si>
    <t>Mực in cho máy Plotter (4 màu)</t>
  </si>
  <si>
    <t>USB (1ghi)</t>
  </si>
  <si>
    <t>Máy SCAN A0</t>
  </si>
  <si>
    <t>Bảng 64</t>
  </si>
  <si>
    <t>Bảng 68</t>
  </si>
  <si>
    <t>(1) Mức dụng cụ cho các loại khó khăn tính theo hệ số mức tại Bảng 69</t>
  </si>
  <si>
    <t>Bảng 70</t>
  </si>
  <si>
    <t>Bảng 73</t>
  </si>
  <si>
    <t>Bảng 74</t>
  </si>
  <si>
    <t>Bảng 77</t>
  </si>
  <si>
    <t>Bảng 67</t>
  </si>
  <si>
    <t>Đăng ký cấp GCN đối với đất</t>
  </si>
  <si>
    <t>Đăng ký cấp GCN đối với tài sản</t>
  </si>
  <si>
    <t>Đăng ký cấp GCN đối với đất và tài sản</t>
  </si>
  <si>
    <t>Loại
KK</t>
  </si>
  <si>
    <t>Bảng so sánh đơn giá trên hồ sơ giữa Định mức 50 và Định mức sửa đổi năm 2017</t>
  </si>
  <si>
    <t>Nội dung</t>
  </si>
  <si>
    <t>Đăng ký 01 thửa đất</t>
  </si>
  <si>
    <t>Đăng ký đồng thời đất và tài sản</t>
  </si>
  <si>
    <t>Đăng ký riêng tài sản</t>
  </si>
  <si>
    <t>Đăng ký đồng loạt lần đầu ở xã</t>
  </si>
  <si>
    <t>Đăng ký đồng loạt lần đầu ở phường</t>
  </si>
  <si>
    <t>Đăng ký đơn lẻ lần đầu đối với hộ gia đình cá nhân</t>
  </si>
  <si>
    <t>Đăng ký đơn lẻ cấp tỉnh (lần đầu)</t>
  </si>
  <si>
    <t>Đăng ký, cấp đổi GCN đồng loạt tại xã, thị trấn</t>
  </si>
  <si>
    <t>Đăng ký, cấp đổi GCN đồng loạt tại phường</t>
  </si>
  <si>
    <t>Cấp đổi, cấp lại Giấy chứng nhận riêng lẻ hộ gia đình cá nhân</t>
  </si>
  <si>
    <t>Đăng ký biến động đối với hộ gia đình, cá nhân</t>
  </si>
  <si>
    <t>Đăng ký biến động đối với tổ chức</t>
  </si>
  <si>
    <t>Định mức trên tính hệ số lương cơ bản 1.210.000 đồng, lao động phổ thông = 100.000 đồng, có VPĐKQSDĐ cấp huyện; trích lục, viết GCN bằng công nghệ tin học, đồng nhất gái dụng cụ, vật liệu, thiết bị</t>
  </si>
  <si>
    <t>Khó
Khăn</t>
  </si>
  <si>
    <t>ĐM 50</t>
  </si>
  <si>
    <t>ĐM14
2017</t>
  </si>
  <si>
    <t>ĐM14
2017
(Tính lại)</t>
  </si>
  <si>
    <t>đồng
/giấy</t>
  </si>
  <si>
    <t>tỷ lệ 
%</t>
  </si>
  <si>
    <t>tỷ lệ
%</t>
  </si>
  <si>
    <t>Chênh lệch (+, -)</t>
  </si>
  <si>
    <t>lưu động</t>
  </si>
  <si>
    <t>Tổng
số</t>
  </si>
  <si>
    <t>1KS2, 1KTV4</t>
  </si>
  <si>
    <t>1KS3, 1KS2, 1KTV4</t>
  </si>
  <si>
    <t xml:space="preserve">1KS2, 1KTV4 </t>
  </si>
  <si>
    <t>1KS3, 1KS2</t>
  </si>
  <si>
    <t>1KS2,1KTV4</t>
  </si>
  <si>
    <t>Công
nhóm</t>
  </si>
  <si>
    <t>Trang</t>
  </si>
  <si>
    <t>Đất + TS</t>
  </si>
  <si>
    <t>(1) Mức dụng cụ cho các loại khó khăn tính theo hệ số mức trong Bảng 83</t>
  </si>
  <si>
    <t>Phường</t>
  </si>
  <si>
    <t>Huyện</t>
  </si>
  <si>
    <t>Tỉnh</t>
  </si>
  <si>
    <r>
      <t xml:space="preserve">Ghi chú: </t>
    </r>
    <r>
      <rPr>
        <sz val="12"/>
        <rFont val="Times New Roman"/>
        <family val="1"/>
      </rPr>
      <t>Định mức vật liệu trên áp dụng cho các trường hợp đăng ký đất hoặc đăng ký tài sản hoặc đăng ký cả đất và tài sản</t>
    </r>
  </si>
  <si>
    <r>
      <t xml:space="preserve">Ghi chú: </t>
    </r>
    <r>
      <rPr>
        <sz val="12"/>
        <rFont val="Times New Roman"/>
        <family val="1"/>
      </rPr>
      <t>Định mức vật liệu trên áp dụng cho các trường hợp đăng ký đất hoặc đăng ký tài sản hoặc đăng ký cả đất và tài sản.</t>
    </r>
  </si>
  <si>
    <t>PHỤ LỤC 1: ĐƠN GIÁ DỤNG CỤ, VẬT LIỆU THIẾT BỊ ĐĂNG KÝ, CẤP GIẤY CHỨNG NHẬN</t>
  </si>
  <si>
    <t>PHẦN II: TỔNG HỢP ĐƠN GIÁ SẢN PHẨM ĐĂNG KÝ, CẤP GIẤY CHỨNG NHẬN</t>
  </si>
  <si>
    <t>PHẦN III: CHI TIẾT ĐƠN GIÁ SẢN PHẨM ĐĂNG KÝ, CẤP GIẤY CHỨNG NHẬN</t>
  </si>
  <si>
    <t>PCKV
0,1</t>
  </si>
  <si>
    <t>PHỤ LỤC 3: CHI PHÍ NHÂN CÔNG ĐĂNG KÝ, CẤP GIẤY CHỨNG NHẬN</t>
  </si>
  <si>
    <t>PHỤ LỤC 4: CHI PHÍ CÔNG CỤ, DỤNG CỤ ĐĂNG KÝ, CẤP GIẤY CHỨNG NHẬN</t>
  </si>
  <si>
    <t>PHỤ LỤC 5: CHI PHÍ KHẤU HAO MÁY VÀ THIẾT BỊ ĐĂNG KÝ, CẤP GIẤY CHỨNG NHẬN</t>
  </si>
  <si>
    <t>PHỤ LỤC 6: CHI PHÍ VẬT LIỆU ĐĂNG KÝ, CẤP GIẤY CHỨNG NHẬN</t>
  </si>
  <si>
    <t>0.3</t>
  </si>
  <si>
    <t>Đơn giá theo QĐ 34</t>
  </si>
  <si>
    <t>so sánh</t>
  </si>
  <si>
    <t>chênh lệch</t>
  </si>
  <si>
    <t>đơn giá tỉnh Bình phước</t>
  </si>
  <si>
    <t>SO SÁNH ĐƠN GIÁ SẢN PHẨM ĐĂNG KÝ, CẤP GIẤY CHỨNG NHẬN</t>
  </si>
  <si>
    <r>
      <t xml:space="preserve">ĐĂNG KÝ, CẤP GIẤY CHỨNG NHẬN LẦN ĐẦU ĐỒNG LOẠT ĐỐI VỚI HỘ GIA ĐÌNH, CÁ NHÂN Ở XÃ, THỊ TRẤN </t>
    </r>
    <r>
      <rPr>
        <b/>
        <sz val="11"/>
        <color indexed="10"/>
        <rFont val="Times New Roman"/>
        <family val="1"/>
      </rPr>
      <t>(CHƯA BAO GỒM QUÉT HỒ SƠ)</t>
    </r>
  </si>
  <si>
    <r>
      <t xml:space="preserve">ĐĂNG KÝ, CẤP GIẤY CHỨNG NHẬN LẦN ĐẦU ĐỒNG LOẠT ĐỐI VỚI HỘ GIA ĐÌNH, CÁ NHÂN Ở PHƯỜNG </t>
    </r>
    <r>
      <rPr>
        <b/>
        <sz val="11"/>
        <color indexed="10"/>
        <rFont val="Times New Roman"/>
        <family val="1"/>
      </rPr>
      <t>(CHƯA BAO GỒM QUÉT HỒ SƠ)</t>
    </r>
  </si>
  <si>
    <r>
      <t xml:space="preserve">ĐĂNG KÝ, CẤP ĐỔI GIẤY CHỨNG NHẬN ĐỒNG LOẠT TẠI XÃ, THỊ TRẤN </t>
    </r>
    <r>
      <rPr>
        <b/>
        <sz val="11"/>
        <color indexed="10"/>
        <rFont val="Times New Roman"/>
        <family val="1"/>
      </rPr>
      <t>(CHƯA BAO GỒM QUÉT HỒ SƠ)</t>
    </r>
  </si>
  <si>
    <r>
      <t>ĐĂNG KÝ, CẤP ĐỔI GIẤY CHỨNG NHẬN ĐỒNG LOẠT TẠI PHƯỜNG</t>
    </r>
    <r>
      <rPr>
        <b/>
        <sz val="11"/>
        <color indexed="10"/>
        <rFont val="Times New Roman"/>
        <family val="1"/>
      </rPr>
      <t xml:space="preserve"> (CHƯA BAO GỒM QUÉT HỒ SƠ)</t>
    </r>
  </si>
  <si>
    <t xml:space="preserve">Chi phí
chung
</t>
  </si>
  <si>
    <t>Lương phụ 11%</t>
  </si>
  <si>
    <t>tỷ lệ %</t>
  </si>
  <si>
    <t>Cộng</t>
  </si>
  <si>
    <t>Số hồ sơ/xã=8000 hs; Số hồ sơ/xã=5000 hs; Số điểm đăng ký/xã, phường=10; Số tờ bản đồ/xã, phường=60 tờ.</t>
  </si>
  <si>
    <t>Vùng I</t>
  </si>
  <si>
    <t>Vùng II</t>
  </si>
  <si>
    <t>Vùng III</t>
  </si>
  <si>
    <t>Mức tính</t>
  </si>
  <si>
    <t>Vùng IV</t>
  </si>
  <si>
    <t>Nhận lại hồ sơ và Quyết định hình thức sử dụng đất từ Ủy ban nhân dân tỉnh</t>
  </si>
  <si>
    <t>Khai thác, sử dụng thông tin về tình trạng hôn nhân trong Cơ sở dữ liệu quốc gia về dân cư hoặc thông báo cho người sử dụng đất, chủ sở hữu tài sản gắn liền với đất nộp bản sao giấy đăng ký kết hôn hoặc giấy tờ khác về tình trạng hôn nhân</t>
  </si>
  <si>
    <t>Kiểm tra thực địa và đối chiếu với hồ sơ đăng ký, cấp Giấy chứng nhận đã cấp để xác định đúng vị trí thửa đất (đối với trường hợp vị trí thửa đất trên Giấy chứng nhận đã cấp không chính xác so với vị trí thực tế sử dụng đất)</t>
  </si>
  <si>
    <t>Nhóm 2 (1KS2, 1KTV4)</t>
  </si>
  <si>
    <t>Chuyển hồ sơ đến Văn phòng đăng ký đất đai</t>
  </si>
  <si>
    <t>Thông báo, trả lại hồ sơ cho người sử dụng đất, chủ sở hữu tài sản gắn liền với đất đối với trường hợp không đủ điều kiện thực hiện thủ tục đăng ký</t>
  </si>
  <si>
    <t>Lập và gửi Phiếu chuyển thông tin để xác định nghĩa vụ tài chính về đất đai (nếu có)</t>
  </si>
  <si>
    <t>Chuyển thông tin theo hình thức liên thông</t>
  </si>
  <si>
    <t>Chuyển thông tin theo hình thức trực tiếp</t>
  </si>
  <si>
    <t>Nhận thông báo của cơ quan thuế về việc hoàn thành nghĩa vụ tài chính</t>
  </si>
  <si>
    <t>Lập biên bản kết thúc niêm yết và gửi đến Văn phòng đăng ký đất đai</t>
  </si>
  <si>
    <t>Nhóm 2 (1KS3, 1KS2)</t>
  </si>
  <si>
    <t>Thông báo việc đăng tin 03 lần trên phương tiện thông tin đại chúng ở địa phương trong thời gian 15 ngày về việc mất Giấy chứng nhận đã cấp</t>
  </si>
  <si>
    <t>Thông báo bằng văn bản cho bên chuyển quyền hoặc thực hiện đăng tin 03 lần trên phương tiện thông tin đại chúng ở địa phương đối với trường hợp cấp Giấy chứng nhận diện tích tăng thêm hoặc thông báo cho người sử dụng đất về hủy kết quả đăng ký</t>
  </si>
  <si>
    <t>Thông báo cho chủ đầu tư cung cấp các giấy tờ quy định</t>
  </si>
  <si>
    <t>Hướng dẫn các bên nộp đơn đến cơ quan nhà nước có thẩm quyền giải quyết tranh chấp theo quy định</t>
  </si>
  <si>
    <t>Kiểm tra hồ sơ cấp Giấy chứng nhận trước đây, trình cơ quan có thẩm quyền xác định lại diện tích đất ở hoặc trình cơ quan có thẩm quyền  ký, ban hành quyết định cho phép chuyển mục đích sử dụng đất hoặc lập biên bản kết luận về nội dung và nguyên nhân sai sót hoặc trình, quyết định thu hồi Giấy chứng nhận</t>
  </si>
  <si>
    <t>Thông báo cho người có quyền và nghĩa vụ liên quan theo quy định của pháp luật dân sự nộp giấy tờ chứng minh để tiếp tục thực hiện thủ tục đối với trường hợp người sử dụng đất, chủ sở hữu tài sản gắn liền với đất không tiếp tục thực hiện thủ tục</t>
  </si>
  <si>
    <t>Thu hồi Giấy chứng nhận đã cấp của bên thuê, bên thuê lại đất đối với trường hợp xóa cho thuê, cho thuê lại đất</t>
  </si>
  <si>
    <t>Niêm yết tại trụ sở Ủy ban nhân dân cấp xã nơi có đất về việc làm thủ tục cấp Giấy chứng nhận cho người nhận chuyển quyền</t>
  </si>
  <si>
    <t>Xác nhận hiện trạng sử dụng đất, tình trạng tranh chấp đất đai, tài sản gắn liền với đất, xác nhận đất sử dụng ổn định, xác nhận nguồn gốc sử dụng đất, xác nhận sự phù hợp với quy hoạch</t>
  </si>
  <si>
    <t>Chuyển Văn phòng đăng ký đất đai, Chi nhánh Văn phòng đăng ký đất đai văn bản về xác nhận về tình trạng sạt lở tự nhiên hoặc văn bản về việc tặng cho quyền sử dụng đất</t>
  </si>
  <si>
    <t>Kiểm tra hồ sơ cấp Giấy chứng nhận trước đây, trình cơ quan có thẩm quyền ký, ban hành quyết định cho phép chuyển mục đích sử dụng đất hoặc lập biên bản kết luận về nội dung và nguyên nhân sai sót hoặc trình, quyết định thu hồi Giấy chứng nhận</t>
  </si>
  <si>
    <t>Nhận các ý kiến phản ánh; Xem xét giải quyết các ý kiến phản ánh về nội dung đã công khai</t>
  </si>
  <si>
    <t>Kiểm tra việc đủ điều kiện hay không đủ điều kiện được cấp Giấy chứng nhận</t>
  </si>
  <si>
    <t>Nhận lại hồ sơ, GCN, hợp đồng thuê đất; lập và sao sổ cấp Giấy chứng nhận</t>
  </si>
  <si>
    <t>Thông báo danh sách các trường hợp làm thủ tục cấp Giấy chứng nhận cho bên nhận thế chấp; xác nhận việc đăng ký thế chấp vào GCN sau khi được cơ quan có thẩm quyền ký cấp đổi</t>
  </si>
  <si>
    <t>Trích sao số liệu địa chính, quyết định hủy GCN bị mất, cấp đổi, cấp lại GCN, lập sổ theo dõi hồ sơ</t>
  </si>
  <si>
    <t>Thông báo danh sách các trường hợp làm thủ tục cấp đổi GCN cho bên nhận thế chấp quyền sử dụng đất, tài sản gắn liền với đất; xác nhận việc đăng ký thế chấp vào GCN sau khi được cơ quan có thẩm quyền ký cấp đổi</t>
  </si>
  <si>
    <t>Trích lục bản đồ địa chính hoặc trích đo bản đồ địa chính thửa đất đối với nơi chưa có bản đồ địa chính</t>
  </si>
  <si>
    <t>Xác nhận nội dung biến động trên GCN hoặc cấp GCN mới</t>
  </si>
  <si>
    <t>Nhận, kiểm tra tính đầy đủ của thành phần hồ sơ, tính thống nhất về nội dung thông tin giữa các giấy tờ, tính đầy đủ của nội dung kê khai và cấp Giấy tiếp nhận hồ sơ và hẹn trả kết quả hoặc trả lại hồ sơ, vào sổ theo dõi nhận, trả hồ sơ (theo hình thức trực tiếp, trực tuyến)</t>
  </si>
  <si>
    <t xml:space="preserve">Nhập thông tin về nghĩa vụ tài chính, đăng ký vào hồ sơ địa chính </t>
  </si>
  <si>
    <t>18.1</t>
  </si>
  <si>
    <t>18.2</t>
  </si>
  <si>
    <t>Lập, cập nhật hoàn thiện Sổ địa chính điện tử</t>
  </si>
  <si>
    <t>Sao, in ấn hồ sơ địa chính để cung cấp cho cấp xã quản lý và khai thác sử dụng</t>
  </si>
  <si>
    <t>Sao Sổ địa chính, Sổ mục kê đất đai</t>
  </si>
  <si>
    <t>Cột “ĐM Đất” áp dụng cho trường hợp đăng ký, cấp GCN đối với đất; cột “ĐM Đất + TS” áp dụng đối với trường hợp đăng ký, cấp GCN đối với cả đất và tài sản gắn liền với đất</t>
  </si>
  <si>
    <t>16.1</t>
  </si>
  <si>
    <t>16.2</t>
  </si>
  <si>
    <t>Trường hợp thửa đất đã cấp GCN mà có thay đổi về mục đích sử dụng đất, ranh giới thửa đất thì áp dụng theo định mức quy định tại Bảng này</t>
  </si>
  <si>
    <t>Kiểm tra hồ sơ đề nghị đăng ký, cấp đổi, cấp lại Giấy chứng nhận</t>
  </si>
  <si>
    <t>Cột “ĐM Đất” áp dụng cho trường hợp đăng ký, cấp GCN đối với đất; cột “ĐM TS” áp dụng cho trường hợp đăng ký, cấp GCN đối với tài sản; cột “ĐM Đất + TS” áp dụng đối với trường hợp đăng ký, cấp GCN đối với cả đất và tài sản gắn liền với đất</t>
  </si>
  <si>
    <t>Kiểm tra các điều kiện thực hiện quyền theo quy định của Luật Đất đai đối với trường hợp thực hiện quyền của người sử dụng đất, của chủ sở hữu tài sản gắn liền với đất. Trường hợp không đủ điều kiện thực hiện quyền theo quy định của Luật Đất đai hoặc nhận được một trong các văn bản của cơ quan có thẩm quyền về việc dừng giải quyết thủ tục thì thông báo lý do và trả hồ sơ.</t>
  </si>
  <si>
    <t>22.1</t>
  </si>
  <si>
    <t>22.2</t>
  </si>
  <si>
    <t>Trường hợp đăng ký biến động đất đai mà thực hiện cấp mới GCN thì áp dụng định mức của Bảng này. Trường hợp đăng ký biến động đất đai mà không thực hiện cấp mới GCN thì áp dụng theo quy định tại Bảng 15 sau đây</t>
  </si>
  <si>
    <t>30</t>
  </si>
  <si>
    <t>31</t>
  </si>
  <si>
    <t>PCKV 0,2</t>
  </si>
  <si>
    <t>III/ PHỤ CẤP KHU VỰC (0.2):</t>
  </si>
  <si>
    <t>Xác nhận hiện trạng sử dụng đất có hay không có nhà ở, công trình xây dựng; tình trạng tranh chấp đất đai, tài sản gắn liền với đất; xác định đất sử dụng ổn định; xác định nguồn gốc sử dụng đất; xác nhận sự phù hợp với quy hoạch</t>
  </si>
  <si>
    <t xml:space="preserve">Kiểm tra thực tế sử dụng đất của tổ chức, xác định ranh giới cụ thể của thửa đất đối với tổ chức </t>
  </si>
  <si>
    <t>Lập biên bản kiểm tra việc sử dụng đất, ranh giới sử dụng đất của tổ chức</t>
  </si>
  <si>
    <t>Lập Tờ trình trình Chủ tịch UBND phường</t>
  </si>
  <si>
    <t>Quyết định hình thức sử dụng đất đối với tổ chức</t>
  </si>
  <si>
    <t>Ban hành Thông báo xác nhận kết quả đăng ký đất đai đối với trường hợp không có nhu cầu hoặc không đủ điều kiện cấp Giấy chứng nhận</t>
  </si>
  <si>
    <t>Chuyển Thông báo xác nhận kết quả đăng ký đất đai đến Bộ phận một cửa hoặc chuyển Giấy chứng nhận thông qua dịch vụ bưu chính công ích để trao cho người sử dụng đất.</t>
  </si>
  <si>
    <t>Chuyển hồ sơ đến Văn phòng đăng ký đất đai để cập nhật, chỉnh lý hồ sơ địa chính, cơ sở dữ liệu đất đai.</t>
  </si>
  <si>
    <t>Lập, gửi Phiếu chuyển thông tin xác định nghĩa vụ tài chính đối với trường hợp có nhu cầu cấp Giấy chứng nhận và đủ điều kiện</t>
  </si>
  <si>
    <t>Nhận thông báo hoàn thành nghĩa vụ tài chính từ cơ quan thuế hoặc được ghi nợ nghĩa vụ tài chính</t>
  </si>
  <si>
    <t>Cấp Giấy chứng nhận</t>
  </si>
  <si>
    <t>Nhập bổ sung thông tin dữ liệu về Giấy chứng nhận đã cấp</t>
  </si>
  <si>
    <t>25.1</t>
  </si>
  <si>
    <t>25.1.1</t>
  </si>
  <si>
    <t>25.1.2</t>
  </si>
  <si>
    <t>Chuyển Giấy chứng nhận đến Bộ phận một cửa để trao cho người sử dụng đất hoặc chuyển Giấy chứng nhận cho người sử dụng đất thông qua dịch vụ bưu chính công ích</t>
  </si>
  <si>
    <t>Chuyển hồ sơ kèm theo bản sao Giấy chứng nhận đã cấp đến Văn phòng đăng ký đất đai để cập nhật, chỉnh lý hồ sơ địa chính, cơ sở dữ liệu đất đai.</t>
  </si>
  <si>
    <t>Nhận hồ sơ địa chính từ cấp tỉnh gửi về (01 bộ)</t>
  </si>
  <si>
    <t>II.1</t>
  </si>
  <si>
    <t>Chuyển Thông báo xác nhận kết quả đăng ký đất đai đến Bộ phận một cửa hoặc chuyển Giấy chứng nhận thông qua dịch vụ bưu chính công ích để trao cho người sử dụng đất</t>
  </si>
  <si>
    <t xml:space="preserve">Trực tiếp từ cơ sở dữ liệu dạng số </t>
  </si>
  <si>
    <t>26.1</t>
  </si>
  <si>
    <t>26.2</t>
  </si>
  <si>
    <t>Quét bổ sung các giấy tờ trong hồ sơ đăng ký đất đai</t>
  </si>
  <si>
    <t>II.2</t>
  </si>
  <si>
    <t>Chuyển toàn bộ hồ sơ đến cơ quan có chức năng quản lý đất đai cấp tỉnh</t>
  </si>
  <si>
    <t>Nhận thông báo, cập nhật HSĐC từ cấp tỉnh chuyển xuống</t>
  </si>
  <si>
    <t>Lập Tờ trình kèm theo hồ sơ và dự thảo Quyết định về hình thức sử dụng đất trình Chủ tịch Ủy ban nhân dân tỉnh</t>
  </si>
  <si>
    <t>Quyết định hình thức sử dụng đất</t>
  </si>
  <si>
    <t>Xác định giá đất, lập và gửi Phiếu chuyển thông tin để xác định nghĩa vụ tài chính về đất đai sang cơ quan thuế</t>
  </si>
  <si>
    <t>Nhận thông báo hoàn thành nghĩa vụ tài chính từ cơ quan thuế</t>
  </si>
  <si>
    <t>Lập hồ sơ trình ký Giấy chứng nhận</t>
  </si>
  <si>
    <t>Quét giấy tờ bổ sung</t>
  </si>
  <si>
    <t>IV</t>
  </si>
  <si>
    <t>Kiểm tra hồ sơ đề nghị đăng ký</t>
  </si>
  <si>
    <t xml:space="preserve">Nhập thông tin thửa đất, tài sản gắn liền với đất, đăng ký vào hồ sơ địa chính, cơ sở dữ liệu đất đai    </t>
  </si>
  <si>
    <t>Nhận lại hồ sơ, GCN, hợp đồng thuê đất (nếu có); lập và sao sổ cấp GCN;  quét (sao) GCN để lưu</t>
  </si>
  <si>
    <t>Văn phòng đăng ký đất đai nhận lại Giấy chứng nhận cũ đang thế chấp từ tổ chức tín dụng và trao Giấy chứng nhận mới</t>
  </si>
  <si>
    <t>19.1</t>
  </si>
  <si>
    <t>19.2</t>
  </si>
  <si>
    <t>Đăng ký, cấp đổi, cấp lại Giấy chứng nhận riêng lẻ đối với hộ gia đình, cá nhân, cộng đồng dân cư, người gốc Việt Nam định cư ở nước ngoài.</t>
  </si>
  <si>
    <t>7.1.1</t>
  </si>
  <si>
    <t>7.1.2</t>
  </si>
  <si>
    <t>Trường hợp cấp đổi Giấy chứng nhận</t>
  </si>
  <si>
    <t>Trường hợp cấp lại Giấy chứng nhận</t>
  </si>
  <si>
    <t>7.2.1</t>
  </si>
  <si>
    <t>7.2.2</t>
  </si>
  <si>
    <t>Đăng tin 03 lần trên phương tiện thông tin đại chúng ở địa phương trong thời gian 15 ngày về việc mất Giấy chứng nhận đã cấp đối với người gốc Việt Nam định cư ở nước ngoài, chi phí đăng tin do người sử dụng đất, chủ sở hữu tài sản gắn liền với đất chi trả</t>
  </si>
  <si>
    <t>Thông báo danh sách các trường hợp làm thủ tục cấp đổi, cấp lại Giấy chứng nhận cho bên nhận thế chấp quyền sử dụng đất, tài sản gắn liền với đất; xác nhận việc đăng ký thế chấp vào GCN sau khi được cơ quan có thẩm quyền ký cấp đổi, cấp lại</t>
  </si>
  <si>
    <t>Chuyển Giấy chứng nhận đến Bộ phận một cửa để trao cho người sử dụng đất hoặc chuyển Giấy chứng nhận cho người sử dụng đất thông qua dịch vụ bưu chính công ích hoặc Văn phòng đăng ký đất đai nhận lại GCN cũ đang thế chấp từ tổ chức tín dụng và trao GCN mới</t>
  </si>
  <si>
    <t>Đăng ký, cấp đổi, cấp lại Giấy chứng nhận riêng lẻ đối với tổ chức, tổ chức tôn giáo, tổ chức tôn giáo trực thuộc, tổ chức nước ngoài có chức năng ngoại giao, tổ chức kinh tế có vốn đầu tư nước ngoài, tổ chức nước ngoài, cá nhân nước ngoài</t>
  </si>
  <si>
    <t>VI.1</t>
  </si>
  <si>
    <t>9.1</t>
  </si>
  <si>
    <t>9.2</t>
  </si>
  <si>
    <t>VI.2</t>
  </si>
  <si>
    <t>VI.3</t>
  </si>
  <si>
    <t>Đăng ký biến động đất đai đối với hộ gia đình, cá nhân, cộng đồng dân cư, người gốc Việt Nam định cư ở nước ngoài</t>
  </si>
  <si>
    <t>Kiểm tra các điều kiện thực hiện quyền theo quy định của Luật Đất đai đối với trường hợp thực hiện quyền của người sử dụng đất, của chủ sở hữu tài sản gắn liền với đất. Trường hợp không đủ điều kiện thực hiện quyền theo quy định của Luật Đất đai hoặc nhận được một trong các văn bản của cơ quan có thẩm quyền về việc dừng giải quyết thủ tục thì thông báo lý do và trả hồ sơ</t>
  </si>
  <si>
    <t>Thông báo bằng văn bản cho cơ quan thuế về việc chấm dứt quyền và nghĩa vụ của bên chuyển quyền sử dụng đất, quyền sở hữu tài sản gắn liền với đất trong hợp đồng thuê đất</t>
  </si>
  <si>
    <t>Nhập nội dung xác nhận vào tệp (File) dữ liệu hồ sơ số</t>
  </si>
  <si>
    <t>Nhập thông tin vào Sổ cấp giấy; gửi thông báo biến động cho cấp tỉnh, xã</t>
  </si>
  <si>
    <t>27.1</t>
  </si>
  <si>
    <t>27.2</t>
  </si>
  <si>
    <t xml:space="preserve">Đăng ký biến động đất đai đối với tổ chức, tổ chức tôn giáo, tổ chức tôn giáo trực thuộc, tổ chức nước ngoài có chức năng ngoại giao, tổ chức kinh tế có vốn đầu tư nước ngoài, tổ chức nước ngoài, cá nhân nước ngoài </t>
  </si>
  <si>
    <t>Nhập thông tin vào Sổ cấp giấy; gửi thông báo biến động cho cấp xã</t>
  </si>
  <si>
    <t>Địa bàn cấp xã (đối với những nơi chưa xây dựng CSDL) nhận thông báo, cập nhật HSĐC</t>
  </si>
  <si>
    <t>IX</t>
  </si>
  <si>
    <r>
      <t xml:space="preserve">ĐĂNG KÝ, CẤP ĐỔI GIẤY CHỨNG NHẬN ĐỒNG LOẠT TẠI XÃ, PHƯỜNG, ĐẶC KHU </t>
    </r>
    <r>
      <rPr>
        <b/>
        <sz val="10"/>
        <color indexed="10"/>
        <rFont val="Times New Roman"/>
        <family val="1"/>
      </rPr>
      <t>(CHƯA BAO GỒM QUÉT HỒ SƠ)</t>
    </r>
  </si>
  <si>
    <t>ĐĂNG KÝ ĐẤT ĐAI, TÀI SẢN GẮN LIỀN VỚI ĐẤT; LẬP, CHỈNH LÝ, CẬP NHẬP HỒ SƠ ĐỊA CHÍNH; CẤP GIẤY CHỨNG NHẬN QUYỀN SỬ DỤNG ĐẤT, QUYỀN SỞ HỮU TÀI SẢN GẮN LIỀN VỚI ĐẤT</t>
  </si>
  <si>
    <t>Đơn vị tính tại Bảng này trong trường hợp sử dụng là “Điểm” được tính trung bình cho 10 điểm/1 xã, phường,đặc khu và “Cuộc” được tính trung bình cho 10 cuộc/1 xã, phường,đặc khu</t>
  </si>
  <si>
    <t>Niêm yết công khai các nội dung xác nhận tại trụ sở Ủy ban nhân dân cấp xã,phường,đặc khu, khu dân cư nơi có đất</t>
  </si>
  <si>
    <t>Trường hợp nhiều thửa đất nông nghiệp lập chung trong 1 hồ sơ và cấp chung trong một GCN thì ngoài mức được tính ở trên, mỗi thửa đất tăng thêm được tính mức bằng 0,30 lần định mức quy định đối với Mục 2, 3, 4, 5, 6, 7, 10, 11, 12, 13, 15, 16, 17, 18, 19, 20, 21, 24, 25, 26, 27 và 30 các nội dung thực hiện tại địa bàn xã, phường,đặc khu; Mục 1, 2 các nội dung thực hiện tại cấp tỉnh của Bảng này</t>
  </si>
  <si>
    <t>Đối với các hồ sơ không có nhu cầu hoặc không đủ điều kiện cấp GCN thì được tính định mức đối với Mục 1, 2, 3, 4, 5, 6, 7, 10, 11, 13, 16 và 17 các nội dung thực hiện tại địa bàn xã, phường,đặc khu; Mục 1, 2, 3 các nội dung thực hiện tại địa bàn cấp tỉnh của Bảng 7.</t>
  </si>
  <si>
    <t>Trường hợp người sử dụng đất đã đăng ký đất đai theo quy định của pháp luật mà có nhu cầu và đủ điều kiện cấp GCN thì được tính định mức đối với Mục 2, 7, 12, 18, 19, 20, 21, 24, 25, 26, 27 và 30 các nội dung thực hiện tại địa bàn xã, phường,đặc khu; Mục 1, 2, 3 các nội dung thực hiện tại địa bàn cấp tỉnh của Bảng này</t>
  </si>
  <si>
    <t>II.3</t>
  </si>
  <si>
    <t>I.2</t>
  </si>
  <si>
    <t>Nhận, kiểm tra tính đầy đủ của thành phần hồ sơ và cấp Giấy tiếp nhận hồ sơ và hẹn trả kết quả hoặc trả lại hồ sơ, vào sổ theo dõi nhận, trả hồ sơ (theo hình thức trực tiếp, trực tuyến)</t>
  </si>
  <si>
    <t>(2) Trường hợp đăng ký đất đai nhưng không có nhu cầu hoặc không đủ điều kiện cấp GCN thì được tính định mức đối với Mục 1, 2, 3, 4, 5, 6, 7, 8 và 9 nội dung thực hiện tại địa bàn cấp xã,phường,đặc khu; Mục 15 và 16 các nội dung thực hiện tại địa bàn tỉnh.</t>
  </si>
  <si>
    <t>(3) Trường hợp đăng ký đối với đất được giao để quản lý thì được tính định mức đối với Mục 1, 2, 3, 4 và 5 nội dung thực hiện tại địa bàn cấp xã; Mục 15 và 16 các nội dung thực hiện tại địa bàn tỉnh.</t>
  </si>
  <si>
    <t>Định mức trên đây tính đối với việc đăng ký, cấp đổi GCN về quyền sử dụng đất. Trường hợp đăng ký, cấp đổi GCN đối với cả đất và tài sản gắn liền với đất thì định mức tính cho 1 hồ sơ đăng ký cả đất và tài sản bằng 1,3 lần định mức lao động cho 1 hồ sơ đăng ký đối với đất quy định tại Bảng này. Trường hợp đăng ký cấp đổi GCN riêng đối với tài sản thì định mức tính cho 1 hồ sơ đăng ký cấp đổi GCN đối với tài sản bằng định mức lao động cho 1 hồ sơ đăng ký đối với đất quy định tại Bảng này</t>
  </si>
  <si>
    <t>Trường hợp nhiều thửa đất nông nghiệp lập chung trong 1 hồ sơ và cấp chung trong một GCN thì ngoài mức được tính ở trên, mỗi thửa đất tăng thêm được tính mức bằng 0,30 lần định mức quy định đối với Mục 2, 3, 4, 5, 6, 7, 8, 9, 10, 11, 12, 13, 14, 18, 19, 20, 21 và 23 các nội dung thực hiện tại địa bàn phường; Mục 1, 2 và 3 các nội dung thực hiện tại địa bàn cấp tỉnh của Bảng này</t>
  </si>
  <si>
    <t>Trường hợp cấp đổi GCN đối với thửa đất có biến động khác về quyền sử dụng đất, tài sản gắn liền với đất (chuyển quyền sử dụng đất, thay đổi về tài sản gắn liền với đất, v.v...) thì định mức lao động quy định tại các mục 2 7, 8, 9, 10, 11, 12, 13, 14, 18, 19, 20, 21 và 23 các nội dung thực hiện tại địa bàn xã Bảng này được tính bằng 1,5 lần.</t>
  </si>
  <si>
    <t>Trường hợp thửa đất đã cấp GCN mà có thay đổi về mục đích sử dụng đất, ranh giới thửa đất thì áp dụng theo định mức quy định như đối với trường hợp cấp GCN đồng loạt lần đầu</t>
  </si>
  <si>
    <t>Đơn vị tính tại Bảng này trong trường hợp sử dụng là “Bộ/đĩa”, “Bộ/xã, phường,đặc khu” được tính trung bình cho 20.000 hồ sơ/xã, phường,đặc khu; trong trường hợp sử dụng là “Tờ” được tính trung bình 250 tờ bản đồ/1 xã, phường,đặc khu.</t>
  </si>
  <si>
    <t>Trường hợp có kê khai đăng ký, nhưng người sử dụng đất không đổi GCN thì định mức được tính bằng 90% định mức quy định đối với trường hợp cấp đổi GCN tại Bảng 9,</t>
  </si>
  <si>
    <t>CÁC NỘI DUNG THỰC HIỆN TẠI ĐỊA BÀN CẤP XÃ,PHƯỜNG,ĐẶC KHU</t>
  </si>
  <si>
    <t>Chuyển thông tin đến Ủy ban nhân dân cấp xã, phường,đặc khu nơi có đất để thực hiện các công việc đối với trường hợp cấp lại Giấy chứng nhận do bị mất</t>
  </si>
  <si>
    <t>Niêm yết công khai về việc mất Giấy chứng nhận đã cấp tại trụ sở Ủy ban nhân dân cấp xã, phường,đặc khu và điểm dân cư nơi có đất; đồng thời tiếp nhận phản ánh trong thời gian niêm yết công khai về việc mất Giấy chứng nhận đã cấp</t>
  </si>
  <si>
    <t xml:space="preserve"> </t>
  </si>
  <si>
    <t>Nhập nội dung của cấp xã,phường,đặc khu vào tệp (File) dữ liệu hồ sơ số</t>
  </si>
  <si>
    <t>Trích lục bản đồ địa chính đối với nơi đã có bản đồ địa chính hoặc trích đo bản đồ địa chính</t>
  </si>
  <si>
    <t>V.3</t>
  </si>
  <si>
    <t>Cấp tỉnh nhận thông báo biến động,chỉnh lý vào HSĐC,lưu kho hồ sơ</t>
  </si>
  <si>
    <t>Trường hợp nhiều thửa đất nông nghiệp lập chung trong 1 hồ sơ và cấp chung trong một GCN thì ngoài mức được tính ở trên, mỗi thửa đất tăng thêm được tính mức bằng 0,30 lần định mức quy định đối với Mục 2, 3, 4, 5, 6, 7, 8, 9, 10, 11, 12, 13, 14, 18, 19, 20, 21 và 23 các nội dung thực hiện tại địa bàn xã; Mục 1, 2 và 3 các nội dung thực hiện tại địa bàn cấp tỉnh của Bảng này.</t>
  </si>
  <si>
    <t>Trường hợp cấp đổi GCN đối với thửa đất có biến động khác về quyền sử dụng đất, tài sản gắn liền với đất (chuyển quyền sử dụng đất, thay đổi về tài sản gắn liền với đất, v.v...) thì định mức lao động quy định tại các mục 2 7, 8, 9, 10, 11, 12, 13, 14, 18, 19, 20, 21 và 23 các nội dung thực hiện tại địa bàn xã Bảng này được tính bằng 1,5 lần</t>
  </si>
  <si>
    <t>Trường hợp cấp đổi GCN đồng thời với thực hiện thủ tục đăng ký biến động đất đai thì áp dụng theo định mức đăng ký biến động đất đai quy định tại Điều 19 Quy định này</t>
  </si>
  <si>
    <t>Trường hợp cấp đổi Giấy chứng nhận:</t>
  </si>
  <si>
    <t>Trích lục bản đồ địa chính hoặc trích đo bản đồ địa chính</t>
  </si>
  <si>
    <t>Trường hợp cấp đổi GCN đồng thời với thực hiện thủ tục đăng ký biến động đất đai thì áp dụng theo định mức đăng ký biến động đất đai quy định tại Điều 20 Quy định này</t>
  </si>
  <si>
    <t>Niêm yết tại trụ sở Ủy ban nhân dân cấp xã,phường,đặc khu nơi có đất về việc làm thủ tục cấp Giấy chứng nhận cho người nhận chuyển quyền</t>
  </si>
  <si>
    <t>CÁC NỘI DUNG THỰC HIỆN TẠI ĐỊA BÀN XÃ, PHƯỜNG,ĐẶC KHU</t>
  </si>
  <si>
    <t>Các trường hợp đăng ký biến động đất đai mà thực hiện cấp mới GCN hoặc xác nhận thay đổi trên Giấy chứng nhận thì đều áp dụng định mức của Bảng này</t>
  </si>
  <si>
    <t>- Dưới 05 thửa: Mức cho một thửa tính bằng 0,80 mức quy định tại Bảng 14;</t>
  </si>
  <si>
    <t>- Từ 05 thửa đến 10 thửa: Mức cho một thửa tính bằng 0,65 mức quy định tại Bảng 14;</t>
  </si>
  <si>
    <t>- Trên 10 thửa: Mức cho một thửa tính bằng 0,50 mức quy định tại Bảng 14.</t>
  </si>
  <si>
    <t>(1) Cột “ĐM Đất” áp dụng cho trường hợp đăng ký, cấp GCN đối với đất; cột “ĐM Đất + TS” áp dụng đối với trường hợp đăng ký, cấp GCN đối với cả đất và tài sản gắn liền với đất</t>
  </si>
  <si>
    <t>Chuẩn bị địa điểm đăng ký</t>
  </si>
  <si>
    <t>Tổ chức phổ biến, tuyên truyền chủ trương, chính sách về đăng ký, cấp GCN</t>
  </si>
  <si>
    <t>(1) Định mức trên đây tính cho các công việc đăng ký, cấp GCN đối với quyền sử dụng đất. Trường hợp đăng ký, cấp GCN đối với cả đất và tài sản gắn liền với đất thì định mức tính cho 1 hồ sơ đăng ký cả đất và tài sản bằng 1,6 lần định mức lao động cho 1 hồ sơ đăng ký đối với đất quy định tại Bảng này</t>
  </si>
  <si>
    <t>(5) Đơn vị tính tại Bảng này trong trường hợp sử dụng là “Bộ/đĩa”, “Bộ/xã, phường,đặc khu” được tính trung bình cho 20.000 hồ sơ/1 xã, phường,đặc khu; trong trường hợp sử dụng là “Tờ” được tính trung bình 250 tờ bản đồ/1xã, phường,đặc khu.</t>
  </si>
  <si>
    <t>(6) Đơn vị tính tại Bảng này trong trường hợp sử dụng là “Điểm” được tính trung bình cho 10 điểm/1 xã, phường,đặc khu và “Cuộc” được tính trung bình cho 10 cuộc/1 xã, phường,đặc khu</t>
  </si>
  <si>
    <t>Bảng 60</t>
  </si>
  <si>
    <t>(1) Mức dụng cụ cho các loại khó khăn tính theo hệ số mức tại Bảng  61</t>
  </si>
  <si>
    <t>Tại địa bàn xã, phường,đặc khu</t>
  </si>
  <si>
    <t>(4) Đối với xã, thị trấn xây dựng cơ sở dữ liệu địa chính thì trong công việc đăng ký, cấp GCN không được tính mức dụng cụ tại địa bàn cấp tỉnh quy định tại Bảng 60 và Bảng 61.</t>
  </si>
  <si>
    <t>(5) Trường hợp đăng ký nhưng không thuộc trường hợp phải cấp GCN thì được tính mức bằng 50% mức quy định tại Bảng 60 và Bảng 61.</t>
  </si>
  <si>
    <t>Trường hợp đăng ký nhưng không có nhu cầu cấp GCN hoặc không đủ điều kiện được cấp GCN thì được tính mức bằng 90% mức quy định tại Bảng 60 và Bảng 61.</t>
  </si>
  <si>
    <t>KK1-3</t>
  </si>
  <si>
    <t>(6) Trường hợp nhiều thửa đất nông nghiệp được cấp chung trong một GCN thì ngoài mức được tính ở trên cứ mỗi thửa đất tăng thêm được tính thêm 0,20 lần định mức cho các nội dung thực hiện tại phường và 0,30 đối với các nội dung thực hiện tại địa bàn cấp tỉnh</t>
  </si>
  <si>
    <t>Trường hợp nộp hồ sơ tại địa bàn xã, phường,đặc khu</t>
  </si>
  <si>
    <t>PHỤ LỤC 4: CHI PHÍ NHÂN CÔNG</t>
  </si>
  <si>
    <t>(1) Mức dụng cụ cho các loại khó khăn tính theo hệ số mức trong Bảng 71:</t>
  </si>
  <si>
    <t>(4) Đối với xã, phường,đặc khu xây dựng cơ sở dữ liệu địa chính thì trong công việc đăng ký, cấp đổi GCN không được tính mức dụng cụ tại địa bàn cấp tỉnh quy định tại Bảng 70 và Bảng 71.</t>
  </si>
  <si>
    <t>(3) Trường hợp phải chuẩn bị Hợp đồng cho thuê đất, mức dụng cụ tính bằng 0,003 mức dụng cụ tại địa bàn cấp huyện (mức này được áp dụng chung cho các trường hợp lập hợp đồng cho thuê đất).</t>
  </si>
  <si>
    <t>(2) Định mức dụng cụ trên áp dụng cho trường hợp đăng ký đất hoặc trường hợp đăng ký tài sản. Trường hợp đăng ký cả đất và tài sản thì mức dụng cụ được tính bằng hệ số là 1,3 mức dụng cụ của Bảng 74.</t>
  </si>
  <si>
    <t>Cộng (bao gồm dụng cụ nhỏ, phụ 5%)</t>
  </si>
  <si>
    <t>Bảng 83</t>
  </si>
  <si>
    <t>(2) Định mức dụng cụ trên áp dụng cho trường hợp đăng ký đất hoặc trường hợp đăng ký tài sản; trường hợp đăng ký cả đất và tài sản thì mức dụng cụ được tính bằng hệ số là 1,3 mức dụng cụ của Bảng 83.</t>
  </si>
  <si>
    <t>(3) Trường hợp đăng ký biến động đất đai mà thực hiện cấp mới GCN thì áp dụng mức dụng cụ của Bảng 83. Trường hợp đăng ký biến động đất đai mà không thực hiện cấp mới GCN thì được tính bằng 0,6 lần mức dụng cụ của Bảng 83 trên.</t>
  </si>
  <si>
    <t>PHỤ LỤC 2: BẢNG TÍNH GIÁ TIỀN CÔNG LAO ĐỘNG</t>
  </si>
  <si>
    <t>Bảng 62</t>
  </si>
  <si>
    <t>(1) Định mức trên đây tính đối với việc đăng ký, cấp GCN về quyền sử dụng đất. Trường hợp đăng ký, cấp GCN đối với cả đất và tài sản gắn liền với đất thì định mức tính cho 1 hồ sơ đăng ký cả đất và tài sản bằng 1,6 lần định mức cho 1 hồ sơ đăng ký đối với đất. Trường hợp đăng ký riêng đối với tài sản thì định mức tính cho 1 hồ sơ đăng ký đối với tài sản bằng định mức cho 1 hồ sơ đăng ký đối với đất.</t>
  </si>
  <si>
    <t>3) Trường hợp đăng ký nhưng không thuộc trường hợp phải cấp GCN thì được tính mức bằng 50% mức quy định tại Bảng 62.</t>
  </si>
  <si>
    <t>Trường hợp đăng ký nhưng không có nhu cầu cấp GCN hoặc không đủ điều kiện được cấp GCN thì được tính mức bằng 90% mức quy định tại Bảng 62.</t>
  </si>
  <si>
    <t>Tại địa bàn xã, phường, đặc khu</t>
  </si>
  <si>
    <t>0.100</t>
  </si>
  <si>
    <t>0.050</t>
  </si>
  <si>
    <t>Danh mục</t>
  </si>
  <si>
    <t>SL</t>
  </si>
  <si>
    <t xml:space="preserve">VAT (8%) </t>
  </si>
  <si>
    <t>Đơn giá đã VAT</t>
  </si>
  <si>
    <t>Thành tiền đã VAT</t>
  </si>
  <si>
    <t>ĐƠN GIÁ THẨM ĐỊNH</t>
  </si>
  <si>
    <t>THÀNH TIỀN THẨM ĐỊNH</t>
  </si>
  <si>
    <t>DỤNG CỤ</t>
  </si>
  <si>
    <t>Ghế văn phòng</t>
  </si>
  <si>
    <t>Tủ đựng tài liệu</t>
  </si>
  <si>
    <t>Giá để tài liệu</t>
  </si>
  <si>
    <t>Bàn để máy tính</t>
  </si>
  <si>
    <t>Ghế văn phòng (ghế máy tính)</t>
  </si>
  <si>
    <t>Bộ đèn neon 0,04 Kw</t>
  </si>
  <si>
    <t>Chuột máy tính</t>
  </si>
  <si>
    <t>Bàn dập ghim loại trung bình</t>
  </si>
  <si>
    <t>Máy định vị cầm tay (GPS)</t>
  </si>
  <si>
    <t>Bàn dập ghim loại nhỏ</t>
  </si>
  <si>
    <t>Máy hút ẩm 2 kW</t>
  </si>
  <si>
    <t xml:space="preserve">Máy hút bụi 1,5 Kw </t>
  </si>
  <si>
    <t>Máy tính Casio</t>
  </si>
  <si>
    <t>Quạt thông gió 0,04 kW</t>
  </si>
  <si>
    <t>Quạt trần 0,1 kW</t>
  </si>
  <si>
    <t>Màn chiếu điện</t>
  </si>
  <si>
    <t>Thùng tôn đựng tài liệu</t>
  </si>
  <si>
    <t>Bút trình chiếu</t>
  </si>
  <si>
    <t>Cặp đựng tài liệu</t>
  </si>
  <si>
    <t xml:space="preserve">Máy ảnh kĩ thuật số </t>
  </si>
  <si>
    <t>Bàn dập ghim loại lớn</t>
  </si>
  <si>
    <t>Bình đựng nước uống</t>
  </si>
  <si>
    <t>Mũ cứng</t>
  </si>
  <si>
    <t>Giày bảo hộ</t>
  </si>
  <si>
    <t>Tất</t>
  </si>
  <si>
    <t>Ba lô</t>
  </si>
  <si>
    <t>Quần áo bảo hộ lao động</t>
  </si>
  <si>
    <t>Áo rét BHLĐ</t>
  </si>
  <si>
    <t>Quần áo mưa</t>
  </si>
  <si>
    <t>Áo mưa bạt</t>
  </si>
  <si>
    <t>Bộ đồ nề</t>
  </si>
  <si>
    <t>Cuốc bàn</t>
  </si>
  <si>
    <t>Dao phát cây</t>
  </si>
  <si>
    <t>Giầy cao cổ</t>
  </si>
  <si>
    <t>Hòm sắt tài liệu</t>
  </si>
  <si>
    <t>Hòm đựng dụng cụ</t>
  </si>
  <si>
    <t>Giấy làm bìa hồ sơ A3</t>
  </si>
  <si>
    <t>Hộp gim kẹp</t>
  </si>
  <si>
    <t>Ống đựng tài liệu</t>
  </si>
  <si>
    <t>Nilon gói tài liệu</t>
  </si>
  <si>
    <t>Tấm</t>
  </si>
  <si>
    <t>Ống nhòm</t>
  </si>
  <si>
    <t>Thước thép cuộn 2m</t>
  </si>
  <si>
    <t>Xẻng</t>
  </si>
  <si>
    <t>Xô tôn đựng nước</t>
  </si>
  <si>
    <t>Găng tay bạt</t>
  </si>
  <si>
    <t>Nilon che máy 5m</t>
  </si>
  <si>
    <t>Ô che máy</t>
  </si>
  <si>
    <t>Túi đựng tài liệu</t>
  </si>
  <si>
    <t>Đèn điện 100W</t>
  </si>
  <si>
    <t>Búa đóng cọc</t>
  </si>
  <si>
    <t>Cờ hiệu nhỏ</t>
  </si>
  <si>
    <t>Thước thép 30m</t>
  </si>
  <si>
    <t>Kẹp sắt</t>
  </si>
  <si>
    <t>Gương đo đạc</t>
  </si>
  <si>
    <t>Kẹp giấy loại nhỏ</t>
  </si>
  <si>
    <t xml:space="preserve">Cái </t>
  </si>
  <si>
    <t>Thước eke loại trung bình</t>
  </si>
  <si>
    <t>Ổ ghi CD 0,4 kW</t>
  </si>
  <si>
    <t>Thước nhựa 40 cm</t>
  </si>
  <si>
    <t>Đề xuất đổi sang hãng WinQ và kích thước 50cm</t>
  </si>
  <si>
    <t>Pin máy ảnh kỹ thuật số và máy định vị</t>
  </si>
  <si>
    <t>Thước nhựa 120 cm</t>
  </si>
  <si>
    <t>Thước cuộn vải 50 m</t>
  </si>
  <si>
    <t>Ổn áp dùng chung 10KVA</t>
  </si>
  <si>
    <t>Lưu điện cho máy tính</t>
  </si>
  <si>
    <t>Sạc pin</t>
  </si>
  <si>
    <t>Máy tính bảng</t>
  </si>
  <si>
    <t>Dụng cụ có giá trị thấp</t>
  </si>
  <si>
    <t>%</t>
  </si>
  <si>
    <t>THIẾT BỊ</t>
  </si>
  <si>
    <t>Máy chiếu Projector</t>
  </si>
  <si>
    <t>Máy scan A0</t>
  </si>
  <si>
    <t>Máy điều hoà nhiệt độ</t>
  </si>
  <si>
    <t>Máy in A3</t>
  </si>
  <si>
    <t>Máy in A4</t>
  </si>
  <si>
    <t>Máy in màu A4</t>
  </si>
  <si>
    <t>Máy scan A4</t>
  </si>
  <si>
    <t>Máy in màu A3</t>
  </si>
  <si>
    <t>Lưu điện 600W</t>
  </si>
  <si>
    <t>Phần mềm vẽ BĐ</t>
  </si>
  <si>
    <t>License/ Khoá cứng</t>
  </si>
  <si>
    <t>Máy phô tô</t>
  </si>
  <si>
    <t>Máy in Plotter</t>
  </si>
  <si>
    <t>Máy quay phim</t>
  </si>
  <si>
    <t>Máy tính xách tay</t>
  </si>
  <si>
    <t xml:space="preserve">Máy vi tính </t>
  </si>
  <si>
    <t>Đổi model cao hơn, do không tìm thấy model KH đề xuất</t>
  </si>
  <si>
    <t>Bộ máy tính cấu hình cao</t>
  </si>
  <si>
    <t>Máy quét</t>
  </si>
  <si>
    <t>Máy chủ Netserver</t>
  </si>
  <si>
    <t>Phần mềm số hóa bản đồ</t>
  </si>
  <si>
    <t>Gói/năm</t>
  </si>
  <si>
    <t>Thiết bị nối mạng</t>
  </si>
  <si>
    <t>Hệ quản trị dữ liệu không gian</t>
  </si>
  <si>
    <t>Mua tối thiểu 4 core</t>
  </si>
  <si>
    <t>Hệ quản trị CSDL thuộc tính</t>
  </si>
  <si>
    <t>Model: GPS MONTANA 680 đã ngừng sản xuất
Đề xuất đổi sang Model MONTANA 700 (có cấu hình cao hơn)</t>
  </si>
  <si>
    <t>Máy GPS</t>
  </si>
  <si>
    <t>Đổi model do không tìm được model KH đề xuất</t>
  </si>
  <si>
    <t>Máy toàn đạc</t>
  </si>
  <si>
    <t>Sổ điện tử</t>
  </si>
  <si>
    <t>Bộ đàm</t>
  </si>
  <si>
    <t>Điện thoại</t>
  </si>
  <si>
    <t>Do Model A51 không còn thương mại, đề xuất đổi</t>
  </si>
  <si>
    <t>Ô tô 7 chỗ</t>
  </si>
  <si>
    <t>VẬT LIỆU</t>
  </si>
  <si>
    <t xml:space="preserve">USB </t>
  </si>
  <si>
    <t>Đề xuất đổi hãng và dung lượng 16BG vì hãng Panram hạn chế trên thị trường</t>
  </si>
  <si>
    <t>Băng dính to</t>
  </si>
  <si>
    <t>Cuộn</t>
  </si>
  <si>
    <t>Băng dính loại vừa</t>
  </si>
  <si>
    <t>Ghi chú điểm tọa độ cũ</t>
  </si>
  <si>
    <t>Ghi chú điểm độ cao cũ</t>
  </si>
  <si>
    <t>Sơn đỏ</t>
  </si>
  <si>
    <t>Kg</t>
  </si>
  <si>
    <t>Xi măng</t>
  </si>
  <si>
    <t>Cát</t>
  </si>
  <si>
    <t>m3</t>
  </si>
  <si>
    <t>Đá dăm</t>
  </si>
  <si>
    <t>Dấu sứ</t>
  </si>
  <si>
    <t>Đinh</t>
  </si>
  <si>
    <t>Sắt 10</t>
  </si>
  <si>
    <t>Bìa đóng sổ</t>
  </si>
  <si>
    <t>Giấy Kroky</t>
  </si>
  <si>
    <t>Số liệu tọa độ điểm gốc</t>
  </si>
  <si>
    <t>Số liệu độ cao điểm gốc</t>
  </si>
  <si>
    <t>Mực in phun (4 hộp 4 màu)</t>
  </si>
  <si>
    <t>Băng dính phim</t>
  </si>
  <si>
    <t>Đĩa DVD</t>
  </si>
  <si>
    <t>USB (32G)</t>
  </si>
  <si>
    <t>Gọt bút chì</t>
  </si>
  <si>
    <t>Đề xuất đổi mã sản phẩm thành 0594 vì mã 0596 hạn chế trên thị trường</t>
  </si>
  <si>
    <t>Bút chì kim</t>
  </si>
  <si>
    <t>Bút chì</t>
  </si>
  <si>
    <t>Bút dạ màu</t>
  </si>
  <si>
    <t xml:space="preserve">Bút bi nước </t>
  </si>
  <si>
    <t>Bút nhớ dòng</t>
  </si>
  <si>
    <t>Cặp 3 dây</t>
  </si>
  <si>
    <t>Mực in màu A3</t>
  </si>
  <si>
    <t>Ream</t>
  </si>
  <si>
    <t xml:space="preserve">Mực in Ploter (06 hộp) </t>
  </si>
  <si>
    <t>Đầu phun màu A0</t>
  </si>
  <si>
    <t>Bản đồ địa hình</t>
  </si>
  <si>
    <t xml:space="preserve">Giấy A4 </t>
  </si>
  <si>
    <t>Giá phôi GCN</t>
  </si>
  <si>
    <t>Đầu phun màu A4</t>
  </si>
  <si>
    <t>Hồ dán khô</t>
  </si>
  <si>
    <t>Đầu phun màu A3</t>
  </si>
  <si>
    <t>Mực in A3</t>
  </si>
  <si>
    <t>Mực in A4</t>
  </si>
  <si>
    <t>Ổ cứng gắn ngoài (1TB)</t>
  </si>
  <si>
    <t>Ổ cứng gắn ngoài (2TB)</t>
  </si>
  <si>
    <t>USB flash</t>
  </si>
  <si>
    <t>Mực phô tô</t>
  </si>
  <si>
    <t>Sổ ghi chép</t>
  </si>
  <si>
    <t>Cuốn</t>
  </si>
  <si>
    <t>Tẩy chì</t>
  </si>
  <si>
    <t>Cọc gỗ 4cm x 30 cm</t>
  </si>
  <si>
    <t>Cây</t>
  </si>
  <si>
    <t>Bộ khắc chữ</t>
  </si>
  <si>
    <t>thùng</t>
  </si>
  <si>
    <t>Túi nylông (clear)</t>
  </si>
  <si>
    <t>Giấy in A0</t>
  </si>
  <si>
    <t>NĂNG LƯỢNG</t>
  </si>
  <si>
    <t>Điện</t>
  </si>
  <si>
    <t>Kw</t>
  </si>
  <si>
    <t>Xăng</t>
  </si>
  <si>
    <t>Lít</t>
  </si>
  <si>
    <t>Dầu nhờn</t>
  </si>
  <si>
    <t>Giá trên đã bao gồm thuế VAT</t>
  </si>
  <si>
    <t xml:space="preserve">Sao Sổ địa chính, Sổ mục kê </t>
  </si>
  <si>
    <t xml:space="preserve">Mẫu trích lục bản đồ </t>
  </si>
  <si>
    <t>Bàn giao HSĐC cho cấp xã để quản lý và khai thác sử dụng</t>
  </si>
  <si>
    <t>Trích lục bản đồ địa chính đối với nơi đã có bản đồ địa chính hoặc kiểm tra, ký xác nhận mảnh trích đo bản đồ địa chính</t>
  </si>
  <si>
    <t>Chuẩn bị các tài liệu, bản đồ, mẫu đơn đề nghị đăng ký, cấp GCN, danh sách các trường hợp sử dụng đất theo địa điểm</t>
  </si>
  <si>
    <t>ĐĂNG KÝ, CẤP GIẤY CHỨNG NHẬN LẦN ĐẦU ĐỒNG LOẠT ĐỐI VỚI HỘ GIA ĐÌNH, CÁ NHÂN, CỘNG ĐỒNG DÂN CƯ, TỔ CHỨC SỬ DỤNG ĐẤT, NGƯỜI GỐC VIỆT NAM ĐỊNH CƯ Ở NƯỚC NGOÀI TẠI ĐỊA BÀN CẤP XÃ, PHƯỜNG</t>
  </si>
  <si>
    <t>CÁC NỘI DUNG THỰC HIỆN TẠI ĐỊA BÀN XÃ, PHƯỜNG</t>
  </si>
  <si>
    <t>Chuẩn bị các tài liệu, bản đồ, mẫu đơn đề nghị đăng ký, cấp GCN, danh sách các trường hợp sử dụng đất theo địa điểm (theo xã, phường)</t>
  </si>
  <si>
    <t>Bộ/xã, phường</t>
  </si>
  <si>
    <t>(2) Trường hợp nhiều thửa đất nông nghiệp lập chung trong 1 hồ sơ và cấp chung trong một GCN thì ngoài mức được tính ở trên, mỗi thửa đất tăng thêm được tính mức bằng 0,30 lần định mức quy định đối với Mục 2, 3, 4, 5, 6, 7, 10, 11, 12, 13, 15, 16, 17, 18, 19, 20, 21, 24, 25, 26, 27 và 30 các nội dung thực hiện tại địa bàn xã, phường; Mục 1, 2 các nội dung thực hiện tại cấp tỉnh của Bảng này.</t>
  </si>
  <si>
    <t>(3) Đối với các hồ sơ không có nhu cầu hoặc không đủ điều kiện cấp GCN thì được tính định mức đối với Mục 1, 2, 3, 4, 5, 6, 7, 10, 11, 13, 16 và 17 các nội dung thực hiện tại địa bàn xã, phường; Mục 1, 2, 3 các nội dung thực hiện tại địa bàn cấp tỉnh của Bảng 6</t>
  </si>
  <si>
    <t>(4) Trường hợp người sử dụng đất đã đăng ký đất đai theo quy định của pháp luật mà có nhu cầu và đủ điều kiện cấp GCN thì được tính định mức đối với Mục 2, 7, 12, 18, 19, 20, 21, 24, 25, 26, 27 và 30 các nội dung thực hiện tại địa bàn xã, phường; Mục 1, 2, 3 các nội dung thực hiện tại địa bàn cấp tỉnh của Bảng này</t>
  </si>
  <si>
    <t>Đăng ký, cấp Giấy chứng nhận lần đầu đơn lẻ đối với hộ gia đình, cá nhân, cộng đồng dân cư, tổ chức trong nước, người gốc Việt Nam định cư ở nước ngoài tại địa bàn cấp xã, phường</t>
  </si>
  <si>
    <t>CÁC NỘI DUNG THỰC HIỆN TẠI ĐỊA BÀN CẤP XÃ, PHƯỜNG</t>
  </si>
  <si>
    <t>Lập Tờ trình trình Chủ tịch UBND cấp xã, phường</t>
  </si>
  <si>
    <t>Nhận bản thông báo cập nhật hồ sơ địa chính xã, phường chuyển đến đối với những nơi chưa liên thông</t>
  </si>
  <si>
    <t>Định mức lao động đăng ký, cấp Giấy chứng nhận lần đầu đối với tổ chức (trừ trường hợp thuộc thẩm quyền quyết định của UBND xã, phường), tổ chức tôn giáo, tổ chức tôn giáo trực thuộc đang sử dụng đất</t>
  </si>
  <si>
    <t>Cập nhật bổ sung việc cấp GCN vào hồ sơ địa chính, cơ sở dữ liệu đất đai và gửi nội dung cập nhật hồ sơ địa chính về xã, phường</t>
  </si>
  <si>
    <t>Định mức lao động đăng ký, cấp đổi Giấy chứng nhận đồng loạt tại xã, phường</t>
  </si>
  <si>
    <t xml:space="preserve">Nhận hồ sơ địa chính từ cấp tỉnh và gửi về xã, phường (01 bộ) </t>
  </si>
  <si>
    <t>Bộ/xã , phường</t>
  </si>
  <si>
    <t>Bàn giao HSĐC cho xã, phường để quản lý và khai thác sử dụng</t>
  </si>
  <si>
    <t>Cập nhật chỉnh lý HSĐC, thu phí, lệ phí, nộp kho bạc; gửi thông báo biến động cho cấp xã, phường</t>
  </si>
  <si>
    <t>UBND xã, phường nhận thông báo biến động, chỉnh lý vào HSĐC</t>
  </si>
  <si>
    <t>Trường hợp nộp hồ sơ tại địa bàn xã, phường</t>
  </si>
  <si>
    <t>Tại địa bàn xã, phường</t>
  </si>
  <si>
    <t>(2) Đối với xã, phường xây dựng cơ sở dữ liệu địa chính thì trong công việc đăng ký, cấp GCN không được tính mức thiết bị tại địa bàn cấp tỉnh quy định tại Bảng 62.</t>
  </si>
  <si>
    <t>(4) Trường hợp nhiều thửa đất nông nghiệp được cấp chung trong một GCN thì ngoài mức được tính ở trên cứ mỗi thửa đất tăng thêm được tính thêm 0,30 lần định mức cho các nội dung thực hiện tại địa bàn xã, phường và 0,20 đối với các nội dung thực hiện tại địa bàn cấp tỉnh.</t>
  </si>
  <si>
    <t>ĐĂNG KÝ, CẤP GIẤY CHỨNG NHẬN LẦN ĐẦU ĐỒNG LOẠT ĐỐI VỚI HỘ GIA ĐÌNH, CÁ NHÂN Ở XÃ (CHƯA BAO GỒM QUÉT HỒ SƠ)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</si>
</sst>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_(* \(#,##0.00\);_(* &quot;-&quot;??_);_(@_)"/>
    <numFmt numFmtId="164" formatCode="_(* #,##0.0_);_(* \(#,##0.0\);_(* &quot;-&quot;??_);_(@_)"/>
    <numFmt numFmtId="165" formatCode="_(* #,##0_);_(* \(#,##0\);_(* &quot;-&quot;??_);_(@_)"/>
    <numFmt numFmtId="166" formatCode="0.000"/>
    <numFmt numFmtId="167" formatCode="&quot;\&quot;#,##0;[Red]&quot;\&quot;\-#,##0"/>
    <numFmt numFmtId="168" formatCode="&quot;\&quot;#,##0.00;[Red]&quot;\&quot;\-#,##0.00"/>
    <numFmt numFmtId="169" formatCode="\$#,##0\ ;\(\$#,##0\)"/>
    <numFmt numFmtId="170" formatCode="&quot;\&quot;#,##0;[Red]&quot;\&quot;&quot;\&quot;\-#,##0"/>
    <numFmt numFmtId="171" formatCode="&quot;\&quot;#,##0.00;[Red]&quot;\&quot;&quot;\&quot;&quot;\&quot;&quot;\&quot;&quot;\&quot;&quot;\&quot;\-#,##0.00"/>
    <numFmt numFmtId="172" formatCode="#,##0.0"/>
    <numFmt numFmtId="173" formatCode="#,##0.000"/>
    <numFmt numFmtId="174" formatCode="_(* #,##0.000_);_(* \(#,##0.000\);_(* &quot;-&quot;??_);_(@_)"/>
    <numFmt numFmtId="175" formatCode="0.0%"/>
    <numFmt numFmtId="176" formatCode="_(* #,##0.0000_);_(* \(#,##0.0000\);_(* &quot;-&quot;??_);_(@_)"/>
    <numFmt numFmtId="177" formatCode="\(#\ &quot;giờ&quot;\)"/>
    <numFmt numFmtId="178" formatCode="#,##0\ _₫"/>
  </numFmts>
  <fonts count="112">
    <font>
      <sz val="12"/>
      <name val=".VnTime"/>
    </font>
    <font>
      <sz val="12"/>
      <name val=".VnTime"/>
    </font>
    <font>
      <sz val="11"/>
      <name val=".VnTime"/>
      <family val="2"/>
    </font>
    <font>
      <sz val="10"/>
      <name val=".VnTime"/>
      <family val="2"/>
    </font>
    <font>
      <sz val="8"/>
      <name val=".VnTime"/>
      <family val="2"/>
    </font>
    <font>
      <sz val="10"/>
      <name val="Arial"/>
      <family val="2"/>
    </font>
    <font>
      <b/>
      <sz val="18"/>
      <name val="Arial"/>
      <family val="2"/>
    </font>
    <font>
      <b/>
      <sz val="12"/>
      <name val="Arial"/>
      <family val="2"/>
    </font>
    <font>
      <sz val="14"/>
      <name val="뼻뮝"/>
      <family val="3"/>
      <charset val="129"/>
    </font>
    <font>
      <sz val="12"/>
      <name val="뼻뮝"/>
      <family val="1"/>
      <charset val="129"/>
    </font>
    <font>
      <sz val="12"/>
      <name val="바탕체"/>
      <family val="1"/>
      <charset val="129"/>
    </font>
    <font>
      <sz val="10"/>
      <name val="굴림체"/>
      <family val="3"/>
      <charset val="129"/>
    </font>
    <font>
      <b/>
      <sz val="14"/>
      <name val="Times New Roman"/>
      <family val="1"/>
    </font>
    <font>
      <sz val="14"/>
      <name val="Times New Roman"/>
      <family val="1"/>
    </font>
    <font>
      <sz val="11"/>
      <color indexed="8"/>
      <name val="Arial"/>
      <family val="2"/>
      <charset val="163"/>
    </font>
    <font>
      <sz val="11"/>
      <color indexed="9"/>
      <name val="Arial"/>
      <family val="2"/>
      <charset val="163"/>
    </font>
    <font>
      <sz val="11"/>
      <color indexed="20"/>
      <name val="Arial"/>
      <family val="2"/>
      <charset val="163"/>
    </font>
    <font>
      <b/>
      <sz val="11"/>
      <color indexed="52"/>
      <name val="Arial"/>
      <family val="2"/>
      <charset val="163"/>
    </font>
    <font>
      <b/>
      <sz val="11"/>
      <color indexed="9"/>
      <name val="Arial"/>
      <family val="2"/>
      <charset val="163"/>
    </font>
    <font>
      <i/>
      <sz val="11"/>
      <color indexed="23"/>
      <name val="Arial"/>
      <family val="2"/>
      <charset val="163"/>
    </font>
    <font>
      <sz val="11"/>
      <color indexed="17"/>
      <name val="Arial"/>
      <family val="2"/>
      <charset val="163"/>
    </font>
    <font>
      <b/>
      <sz val="11"/>
      <color indexed="56"/>
      <name val="Arial"/>
      <family val="2"/>
      <charset val="163"/>
    </font>
    <font>
      <sz val="11"/>
      <color indexed="62"/>
      <name val="Arial"/>
      <family val="2"/>
      <charset val="163"/>
    </font>
    <font>
      <sz val="11"/>
      <color indexed="52"/>
      <name val="Arial"/>
      <family val="2"/>
      <charset val="163"/>
    </font>
    <font>
      <sz val="11"/>
      <color indexed="60"/>
      <name val="Arial"/>
      <family val="2"/>
      <charset val="163"/>
    </font>
    <font>
      <b/>
      <sz val="11"/>
      <color indexed="63"/>
      <name val="Arial"/>
      <family val="2"/>
      <charset val="163"/>
    </font>
    <font>
      <b/>
      <sz val="18"/>
      <color indexed="56"/>
      <name val="Times New Roman"/>
      <family val="2"/>
      <charset val="163"/>
    </font>
    <font>
      <sz val="11"/>
      <color indexed="10"/>
      <name val="Arial"/>
      <family val="2"/>
      <charset val="163"/>
    </font>
    <font>
      <sz val="12"/>
      <name val="Times New Roman"/>
      <family val="1"/>
    </font>
    <font>
      <b/>
      <u/>
      <sz val="12"/>
      <name val="Times New Roman"/>
      <family val="1"/>
    </font>
    <font>
      <b/>
      <sz val="12"/>
      <name val="Times New Roman"/>
      <family val="1"/>
    </font>
    <font>
      <b/>
      <i/>
      <u/>
      <sz val="12"/>
      <name val="Times New Roman"/>
      <family val="1"/>
    </font>
    <font>
      <i/>
      <sz val="12"/>
      <name val="Times New Roman"/>
      <family val="1"/>
    </font>
    <font>
      <b/>
      <sz val="12"/>
      <color indexed="12"/>
      <name val="Times New Roman"/>
      <family val="1"/>
    </font>
    <font>
      <sz val="12"/>
      <name val=".VnTime"/>
      <family val="2"/>
    </font>
    <font>
      <b/>
      <i/>
      <sz val="12"/>
      <name val="Times New Roman"/>
      <family val="1"/>
    </font>
    <font>
      <sz val="10"/>
      <name val="Times New Roman"/>
      <family val="1"/>
    </font>
    <font>
      <b/>
      <sz val="10"/>
      <name val="Times New Roman"/>
      <family val="1"/>
    </font>
    <font>
      <b/>
      <i/>
      <sz val="10"/>
      <name val="Times New Roman"/>
      <family val="1"/>
    </font>
    <font>
      <i/>
      <sz val="10"/>
      <name val="Times New Roman"/>
      <family val="1"/>
    </font>
    <font>
      <sz val="8"/>
      <name val="Times New Roman"/>
      <family val="1"/>
    </font>
    <font>
      <i/>
      <sz val="12"/>
      <color indexed="12"/>
      <name val="Times New Roman"/>
      <family val="1"/>
    </font>
    <font>
      <b/>
      <sz val="12"/>
      <name val="Times New Roman"/>
      <family val="1"/>
      <charset val="163"/>
    </font>
    <font>
      <b/>
      <i/>
      <sz val="12"/>
      <color indexed="12"/>
      <name val="Times New Roman"/>
      <family val="1"/>
      <charset val="163"/>
    </font>
    <font>
      <sz val="12"/>
      <name val="Times New Roman"/>
      <family val="1"/>
      <charset val="163"/>
    </font>
    <font>
      <b/>
      <i/>
      <sz val="12"/>
      <name val="Times New Roman"/>
      <family val="1"/>
      <charset val="163"/>
    </font>
    <font>
      <b/>
      <sz val="10"/>
      <name val="Times New Roman"/>
      <family val="1"/>
      <charset val="163"/>
    </font>
    <font>
      <b/>
      <i/>
      <sz val="12"/>
      <color indexed="12"/>
      <name val="Times New Roman"/>
      <family val="1"/>
    </font>
    <font>
      <b/>
      <sz val="16"/>
      <name val="Times New Roman"/>
      <family val="1"/>
      <charset val="163"/>
    </font>
    <font>
      <b/>
      <sz val="16"/>
      <name val=".VnTime"/>
      <family val="2"/>
    </font>
    <font>
      <b/>
      <sz val="13"/>
      <name val="Times New Roman"/>
      <family val="1"/>
      <charset val="163"/>
    </font>
    <font>
      <i/>
      <sz val="12"/>
      <name val="Times New Roman"/>
      <family val="1"/>
      <charset val="163"/>
    </font>
    <font>
      <sz val="11"/>
      <name val="Times New Roman"/>
      <family val="1"/>
      <charset val="163"/>
    </font>
    <font>
      <i/>
      <sz val="13"/>
      <name val="Times New Roman"/>
      <family val="1"/>
      <charset val="163"/>
    </font>
    <font>
      <i/>
      <sz val="13"/>
      <name val=".VnTime"/>
      <family val="2"/>
    </font>
    <font>
      <sz val="10"/>
      <name val="Arial"/>
      <family val="2"/>
    </font>
    <font>
      <b/>
      <sz val="10"/>
      <color indexed="10"/>
      <name val="Times New Roman"/>
      <family val="1"/>
    </font>
    <font>
      <b/>
      <sz val="11"/>
      <name val="Times New Roman"/>
      <family val="1"/>
    </font>
    <font>
      <b/>
      <sz val="11"/>
      <color indexed="10"/>
      <name val="Times New Roman"/>
      <family val="1"/>
    </font>
    <font>
      <b/>
      <i/>
      <sz val="11"/>
      <name val="Times New Roman"/>
      <family val="1"/>
    </font>
    <font>
      <sz val="11"/>
      <name val="Times New Roman"/>
      <family val="1"/>
    </font>
    <font>
      <i/>
      <sz val="11"/>
      <name val="Times New Roman"/>
      <family val="1"/>
    </font>
    <font>
      <b/>
      <sz val="11"/>
      <name val="Times New Roman"/>
      <family val="1"/>
      <charset val="163"/>
    </font>
    <font>
      <i/>
      <sz val="11"/>
      <name val="Times New Roman"/>
      <family val="1"/>
      <charset val="163"/>
    </font>
    <font>
      <sz val="13"/>
      <name val="Times New Roman"/>
      <family val="1"/>
    </font>
    <font>
      <sz val="8"/>
      <name val=".VnTime"/>
    </font>
    <font>
      <sz val="12"/>
      <color rgb="FF0000FF"/>
      <name val="Times New Roman"/>
      <family val="1"/>
    </font>
    <font>
      <b/>
      <sz val="12"/>
      <color rgb="FF0000FF"/>
      <name val="Times New Roman"/>
      <family val="1"/>
    </font>
    <font>
      <b/>
      <i/>
      <sz val="12"/>
      <color rgb="FF0000FF"/>
      <name val="Times New Roman"/>
      <family val="1"/>
    </font>
    <font>
      <sz val="12"/>
      <color rgb="FF0066FF"/>
      <name val="Times New Roman"/>
      <family val="1"/>
    </font>
    <font>
      <i/>
      <sz val="10"/>
      <color rgb="FFFF0000"/>
      <name val="Times New Roman"/>
      <family val="1"/>
    </font>
    <font>
      <sz val="10"/>
      <color rgb="FFFF0000"/>
      <name val="Times New Roman"/>
      <family val="1"/>
    </font>
    <font>
      <b/>
      <i/>
      <sz val="12"/>
      <color rgb="FF0000FF"/>
      <name val="Times New Roman"/>
      <family val="1"/>
      <charset val="163"/>
    </font>
    <font>
      <sz val="10"/>
      <color rgb="FF0070C0"/>
      <name val="Times New Roman"/>
      <family val="1"/>
    </font>
    <font>
      <i/>
      <sz val="10"/>
      <color rgb="FF0070C0"/>
      <name val="Times New Roman"/>
      <family val="1"/>
    </font>
    <font>
      <sz val="11"/>
      <color rgb="FF0070C0"/>
      <name val="Times New Roman"/>
      <family val="1"/>
    </font>
    <font>
      <i/>
      <sz val="11"/>
      <color rgb="FF0070C0"/>
      <name val="Times New Roman"/>
      <family val="1"/>
    </font>
    <font>
      <sz val="11"/>
      <color rgb="FFFF0000"/>
      <name val="Times New Roman"/>
      <family val="1"/>
    </font>
    <font>
      <i/>
      <sz val="11"/>
      <color rgb="FFFF0000"/>
      <name val="Times New Roman"/>
      <family val="1"/>
    </font>
    <font>
      <sz val="11"/>
      <color rgb="FF00B050"/>
      <name val="Times New Roman"/>
      <family val="1"/>
    </font>
    <font>
      <i/>
      <sz val="11"/>
      <color rgb="FF00B050"/>
      <name val="Times New Roman"/>
      <family val="1"/>
    </font>
    <font>
      <sz val="11"/>
      <color rgb="FF92D050"/>
      <name val="Times New Roman"/>
      <family val="1"/>
    </font>
    <font>
      <sz val="11"/>
      <color rgb="FFFF0000"/>
      <name val="Times New Roman"/>
      <family val="1"/>
      <charset val="163"/>
    </font>
    <font>
      <i/>
      <sz val="11"/>
      <color rgb="FFFF0000"/>
      <name val="Times New Roman"/>
      <family val="1"/>
      <charset val="163"/>
    </font>
    <font>
      <sz val="11"/>
      <color rgb="FF00B050"/>
      <name val="Times New Roman"/>
      <family val="1"/>
      <charset val="163"/>
    </font>
    <font>
      <i/>
      <sz val="11"/>
      <color rgb="FF00B050"/>
      <name val="Times New Roman"/>
      <family val="1"/>
      <charset val="163"/>
    </font>
    <font>
      <b/>
      <sz val="12"/>
      <color rgb="FF0066FF"/>
      <name val="Times New Roman"/>
      <family val="1"/>
    </font>
    <font>
      <b/>
      <sz val="13"/>
      <color rgb="FFCC00FF"/>
      <name val="Times New Roman"/>
      <family val="1"/>
    </font>
    <font>
      <sz val="12"/>
      <color rgb="FF0070C0"/>
      <name val="Times New Roman"/>
      <family val="1"/>
    </font>
    <font>
      <b/>
      <sz val="10"/>
      <color rgb="FF0070C0"/>
      <name val="Times New Roman"/>
      <family val="1"/>
    </font>
    <font>
      <b/>
      <sz val="12"/>
      <color rgb="FFFF0000"/>
      <name val="Times New Roman"/>
      <family val="1"/>
    </font>
    <font>
      <sz val="12"/>
      <color rgb="FFFF0000"/>
      <name val="Times New Roman"/>
      <family val="1"/>
    </font>
    <font>
      <b/>
      <sz val="10"/>
      <color theme="1"/>
      <name val="Times New Roman"/>
      <family val="1"/>
    </font>
    <font>
      <b/>
      <sz val="10"/>
      <color theme="0"/>
      <name val="Times New Roman"/>
      <family val="1"/>
    </font>
    <font>
      <sz val="10"/>
      <color theme="0"/>
      <name val="Times New Roman"/>
      <family val="1"/>
    </font>
    <font>
      <sz val="10"/>
      <color theme="1"/>
      <name val="Times New Roman"/>
      <family val="1"/>
    </font>
    <font>
      <i/>
      <sz val="10"/>
      <color theme="1"/>
      <name val="Times New Roman"/>
      <family val="1"/>
    </font>
    <font>
      <i/>
      <sz val="10"/>
      <color theme="0"/>
      <name val="Times New Roman"/>
      <family val="1"/>
    </font>
    <font>
      <b/>
      <i/>
      <sz val="12"/>
      <color theme="4"/>
      <name val="Times New Roman"/>
      <family val="1"/>
    </font>
    <font>
      <sz val="12"/>
      <color theme="4"/>
      <name val="Times New Roman"/>
      <family val="1"/>
    </font>
    <font>
      <b/>
      <sz val="12"/>
      <color theme="4"/>
      <name val="Times New Roman"/>
      <family val="1"/>
    </font>
    <font>
      <b/>
      <i/>
      <sz val="12"/>
      <color rgb="FFFF0000"/>
      <name val="Times New Roman"/>
      <family val="1"/>
    </font>
    <font>
      <b/>
      <i/>
      <sz val="12"/>
      <color rgb="FF0070C0"/>
      <name val="Times New Roman"/>
      <family val="1"/>
    </font>
    <font>
      <b/>
      <sz val="11"/>
      <name val="Cambria"/>
      <family val="1"/>
    </font>
    <font>
      <b/>
      <i/>
      <sz val="11"/>
      <color rgb="FFFF0000"/>
      <name val="Cambria"/>
      <family val="1"/>
    </font>
    <font>
      <sz val="11"/>
      <name val="Cambria"/>
      <family val="1"/>
    </font>
    <font>
      <sz val="12"/>
      <color theme="1"/>
      <name val="Times New Roman"/>
      <family val="1"/>
    </font>
    <font>
      <sz val="11"/>
      <color rgb="FFFF0000"/>
      <name val="Cambria"/>
      <family val="1"/>
    </font>
    <font>
      <b/>
      <sz val="10"/>
      <color rgb="FFFF0000"/>
      <name val="Times New Roman"/>
      <family val="1"/>
    </font>
    <font>
      <b/>
      <i/>
      <sz val="10"/>
      <color rgb="FFFF0000"/>
      <name val="Times New Roman"/>
      <family val="1"/>
    </font>
    <font>
      <sz val="10"/>
      <color rgb="FFFF0000"/>
      <name val="Courier New"/>
      <family val="3"/>
    </font>
    <font>
      <sz val="10"/>
      <color rgb="FF00B050"/>
      <name val="Times New Roman"/>
      <family val="1"/>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47"/>
        <bgColor indexed="64"/>
      </patternFill>
    </fill>
    <fill>
      <patternFill patternType="solid">
        <fgColor indexed="9"/>
        <bgColor indexed="64"/>
      </patternFill>
    </fill>
    <fill>
      <patternFill patternType="solid">
        <fgColor theme="9" tint="0.39994506668294322"/>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bgColor indexed="64"/>
      </patternFill>
    </fill>
    <fill>
      <patternFill patternType="solid">
        <fgColor rgb="FFFFC000"/>
        <bgColor indexed="64"/>
      </patternFill>
    </fill>
  </fills>
  <borders count="11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dotted">
        <color indexed="64"/>
      </top>
      <bottom style="dotted">
        <color indexed="64"/>
      </bottom>
      <diagonal/>
    </border>
    <border>
      <left/>
      <right/>
      <top style="double">
        <color indexed="64"/>
      </top>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right/>
      <top/>
      <bottom style="medium">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hair">
        <color indexed="64"/>
      </bottom>
      <diagonal/>
    </border>
    <border>
      <left style="thin">
        <color indexed="64"/>
      </left>
      <right/>
      <top/>
      <bottom style="thin">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thin">
        <color indexed="64"/>
      </left>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medium">
        <color indexed="64"/>
      </right>
      <top style="hair">
        <color indexed="64"/>
      </top>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bottom style="hair">
        <color indexed="64"/>
      </bottom>
      <diagonal/>
    </border>
    <border>
      <left/>
      <right style="medium">
        <color indexed="64"/>
      </right>
      <top style="thin">
        <color indexed="64"/>
      </top>
      <bottom style="hair">
        <color indexed="64"/>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hair">
        <color indexed="64"/>
      </top>
      <bottom style="thin">
        <color indexed="64"/>
      </bottom>
      <diagonal/>
    </border>
    <border>
      <left/>
      <right style="thin">
        <color indexed="64"/>
      </right>
      <top/>
      <bottom style="thin">
        <color indexed="64"/>
      </bottom>
      <diagonal/>
    </border>
    <border>
      <left/>
      <right style="thin">
        <color indexed="64"/>
      </right>
      <top style="hair">
        <color indexed="64"/>
      </top>
      <bottom style="medium">
        <color indexed="64"/>
      </bottom>
      <diagonal/>
    </border>
    <border>
      <left/>
      <right style="thin">
        <color indexed="64"/>
      </right>
      <top style="thin">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right style="medium">
        <color indexed="64"/>
      </right>
      <top style="thin">
        <color indexed="64"/>
      </top>
      <bottom style="thin">
        <color indexed="64"/>
      </bottom>
      <diagonal/>
    </border>
    <border>
      <left/>
      <right/>
      <top/>
      <bottom style="thin">
        <color indexed="64"/>
      </bottom>
      <diagonal/>
    </border>
    <border>
      <left/>
      <right/>
      <top style="hair">
        <color indexed="64"/>
      </top>
      <bottom/>
      <diagonal/>
    </border>
    <border>
      <left/>
      <right style="thin">
        <color indexed="64"/>
      </right>
      <top style="hair">
        <color indexed="64"/>
      </top>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s>
  <cellStyleXfs count="476">
    <xf numFmtId="0" fontId="0" fillId="0" borderId="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43" fontId="1" fillId="0" borderId="0" applyFont="0" applyFill="0" applyBorder="0" applyAlignment="0" applyProtection="0"/>
    <xf numFmtId="43" fontId="3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5" fillId="0" borderId="0" applyFont="0" applyFill="0" applyBorder="0" applyAlignment="0" applyProtection="0"/>
    <xf numFmtId="43" fontId="34" fillId="0" borderId="0" applyFont="0" applyFill="0" applyBorder="0" applyAlignment="0" applyProtection="0"/>
    <xf numFmtId="43" fontId="5"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3" fontId="5" fillId="0" borderId="0" applyFont="0" applyFill="0" applyBorder="0" applyAlignment="0" applyProtection="0"/>
    <xf numFmtId="169" fontId="5" fillId="0" borderId="0" applyFont="0" applyFill="0" applyBorder="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5" fillId="0" borderId="0" applyFon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2" fontId="5" fillId="0" borderId="0" applyFont="0" applyFill="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7" fillId="0" borderId="3" applyNumberFormat="0" applyAlignment="0" applyProtection="0">
      <alignment horizontal="left" vertical="center"/>
    </xf>
    <xf numFmtId="0" fontId="7" fillId="0" borderId="4">
      <alignment horizontal="left" vertical="center"/>
    </xf>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34" fillId="0" borderId="0"/>
    <xf numFmtId="0" fontId="55" fillId="0" borderId="0"/>
    <xf numFmtId="0" fontId="5" fillId="0" borderId="0"/>
    <xf numFmtId="0" fontId="5" fillId="0" borderId="0"/>
    <xf numFmtId="0" fontId="5" fillId="0" borderId="0"/>
    <xf numFmtId="0" fontId="34" fillId="0" borderId="0"/>
    <xf numFmtId="0" fontId="5" fillId="0" borderId="0"/>
    <xf numFmtId="0" fontId="34" fillId="0" borderId="0"/>
    <xf numFmtId="0" fontId="5" fillId="0" borderId="0"/>
    <xf numFmtId="0" fontId="34" fillId="0" borderId="0"/>
    <xf numFmtId="0" fontId="34" fillId="0" borderId="0"/>
    <xf numFmtId="0" fontId="34" fillId="0" borderId="0"/>
    <xf numFmtId="0" fontId="5" fillId="0" borderId="0"/>
    <xf numFmtId="0" fontId="5" fillId="0" borderId="0"/>
    <xf numFmtId="0" fontId="34" fillId="0" borderId="0"/>
    <xf numFmtId="0" fontId="5" fillId="0" borderId="0"/>
    <xf numFmtId="0" fontId="34" fillId="0" borderId="0"/>
    <xf numFmtId="0" fontId="34" fillId="0" borderId="0"/>
    <xf numFmtId="0" fontId="34" fillId="0" borderId="0"/>
    <xf numFmtId="0" fontId="34" fillId="0" borderId="0"/>
    <xf numFmtId="0" fontId="34" fillId="0" borderId="0"/>
    <xf numFmtId="0" fontId="5" fillId="0" borderId="0"/>
    <xf numFmtId="0" fontId="5" fillId="0" borderId="0"/>
    <xf numFmtId="0" fontId="34" fillId="0" borderId="0"/>
    <xf numFmtId="0" fontId="5" fillId="0" borderId="0"/>
    <xf numFmtId="0" fontId="5" fillId="0" borderId="0"/>
    <xf numFmtId="0" fontId="5" fillId="0" borderId="0"/>
    <xf numFmtId="0" fontId="34" fillId="0" borderId="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9" fontId="1" fillId="0" borderId="0" applyFont="0" applyFill="0" applyBorder="0" applyAlignment="0" applyProtection="0"/>
    <xf numFmtId="0" fontId="2" fillId="0" borderId="9">
      <alignment horizontal="center"/>
      <protection locked="0"/>
    </xf>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5" fillId="0" borderId="10" applyNumberFormat="0" applyFont="0" applyFill="0" applyAlignment="0" applyProtection="0"/>
    <xf numFmtId="0" fontId="5" fillId="0" borderId="10" applyNumberFormat="0" applyFont="0" applyFill="0" applyAlignment="0" applyProtection="0"/>
    <xf numFmtId="0" fontId="5" fillId="0" borderId="10" applyNumberFormat="0" applyFont="0" applyFill="0" applyAlignment="0" applyProtection="0"/>
    <xf numFmtId="0" fontId="5" fillId="0" borderId="10" applyNumberFormat="0" applyFont="0" applyFill="0" applyAlignment="0" applyProtection="0"/>
    <xf numFmtId="0" fontId="5" fillId="0" borderId="10" applyNumberFormat="0" applyFont="0" applyFill="0" applyAlignment="0" applyProtection="0"/>
    <xf numFmtId="0" fontId="5" fillId="0" borderId="10" applyNumberFormat="0" applyFont="0" applyFill="0" applyAlignment="0" applyProtection="0"/>
    <xf numFmtId="0" fontId="5" fillId="0" borderId="10" applyNumberFormat="0" applyFont="0" applyFill="0" applyAlignment="0" applyProtection="0"/>
    <xf numFmtId="0" fontId="5" fillId="0" borderId="10" applyNumberFormat="0" applyFont="0" applyFill="0" applyAlignment="0" applyProtection="0"/>
    <xf numFmtId="0" fontId="5" fillId="0" borderId="10" applyNumberFormat="0" applyFont="0" applyFill="0" applyAlignment="0" applyProtection="0"/>
    <xf numFmtId="0" fontId="5" fillId="0" borderId="10" applyNumberFormat="0" applyFon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40" fontId="8" fillId="0" borderId="0" applyFont="0" applyFill="0" applyBorder="0" applyAlignment="0" applyProtection="0"/>
    <xf numFmtId="38"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10" fontId="5" fillId="0" borderId="0" applyFont="0" applyFill="0" applyBorder="0" applyAlignment="0" applyProtection="0"/>
    <xf numFmtId="0" fontId="9" fillId="0" borderId="0"/>
    <xf numFmtId="170" fontId="5" fillId="0" borderId="0" applyFont="0" applyFill="0" applyBorder="0" applyAlignment="0" applyProtection="0"/>
    <xf numFmtId="171" fontId="5" fillId="0" borderId="0" applyFont="0" applyFill="0" applyBorder="0" applyAlignment="0" applyProtection="0"/>
    <xf numFmtId="168" fontId="10" fillId="0" borderId="0" applyFont="0" applyFill="0" applyBorder="0" applyAlignment="0" applyProtection="0"/>
    <xf numFmtId="167" fontId="10" fillId="0" borderId="0" applyFont="0" applyFill="0" applyBorder="0" applyAlignment="0" applyProtection="0"/>
    <xf numFmtId="0" fontId="11" fillId="0" borderId="0"/>
    <xf numFmtId="0" fontId="106" fillId="0" borderId="0"/>
  </cellStyleXfs>
  <cellXfs count="1875">
    <xf numFmtId="0" fontId="0" fillId="0" borderId="0" xfId="0"/>
    <xf numFmtId="0" fontId="13" fillId="0" borderId="0" xfId="0" applyFont="1"/>
    <xf numFmtId="0" fontId="31" fillId="0" borderId="0" xfId="0" applyFont="1" applyAlignment="1">
      <alignment horizontal="left"/>
    </xf>
    <xf numFmtId="0" fontId="28" fillId="0" borderId="0" xfId="0" applyFont="1" applyAlignment="1">
      <alignment horizontal="center"/>
    </xf>
    <xf numFmtId="0" fontId="28" fillId="0" borderId="0" xfId="0" applyFont="1"/>
    <xf numFmtId="0" fontId="28" fillId="0" borderId="0" xfId="0" applyFont="1" applyAlignment="1">
      <alignment vertical="center"/>
    </xf>
    <xf numFmtId="0" fontId="30" fillId="0" borderId="0" xfId="0" applyFont="1" applyAlignment="1">
      <alignment vertical="center" wrapText="1"/>
    </xf>
    <xf numFmtId="0" fontId="28" fillId="0" borderId="11" xfId="0" applyFont="1" applyBorder="1" applyAlignment="1">
      <alignment horizontal="justify" vertical="center" wrapText="1"/>
    </xf>
    <xf numFmtId="0" fontId="28" fillId="0" borderId="11" xfId="0" applyFont="1" applyBorder="1" applyAlignment="1">
      <alignment horizontal="center" vertical="center" wrapText="1"/>
    </xf>
    <xf numFmtId="3" fontId="28" fillId="0" borderId="11" xfId="0" applyNumberFormat="1" applyFont="1" applyBorder="1" applyAlignment="1">
      <alignment vertical="center"/>
    </xf>
    <xf numFmtId="0" fontId="30" fillId="0" borderId="11" xfId="0" applyFont="1" applyBorder="1" applyAlignment="1">
      <alignment horizontal="center" vertical="center" wrapText="1"/>
    </xf>
    <xf numFmtId="0" fontId="30" fillId="0" borderId="11" xfId="0" applyFont="1" applyBorder="1" applyAlignment="1">
      <alignment horizontal="justify" vertical="center" wrapText="1"/>
    </xf>
    <xf numFmtId="0" fontId="33" fillId="0" borderId="0" xfId="0" applyFont="1" applyAlignment="1">
      <alignment vertical="center" wrapText="1"/>
    </xf>
    <xf numFmtId="3" fontId="30" fillId="0" borderId="11" xfId="0" applyNumberFormat="1" applyFont="1" applyBorder="1" applyAlignment="1">
      <alignment vertical="center"/>
    </xf>
    <xf numFmtId="0" fontId="28" fillId="0" borderId="12" xfId="0" applyFont="1" applyBorder="1" applyAlignment="1">
      <alignment horizontal="center" vertical="center" wrapText="1"/>
    </xf>
    <xf numFmtId="0" fontId="30" fillId="0" borderId="0" xfId="0" applyFont="1" applyAlignment="1">
      <alignment vertical="center"/>
    </xf>
    <xf numFmtId="3" fontId="28" fillId="0" borderId="11" xfId="261" applyNumberFormat="1" applyFont="1" applyBorder="1" applyAlignment="1">
      <alignment horizontal="right" vertical="center"/>
    </xf>
    <xf numFmtId="3" fontId="28" fillId="0" borderId="13" xfId="0" applyNumberFormat="1" applyFont="1" applyBorder="1" applyAlignment="1">
      <alignment horizontal="right" vertical="center"/>
    </xf>
    <xf numFmtId="3" fontId="30" fillId="0" borderId="13" xfId="0" applyNumberFormat="1" applyFont="1" applyBorder="1" applyAlignment="1">
      <alignment horizontal="right" vertical="center"/>
    </xf>
    <xf numFmtId="0" fontId="28" fillId="0" borderId="14" xfId="0" applyFont="1" applyBorder="1" applyAlignment="1">
      <alignment horizontal="center" vertical="center" wrapText="1"/>
    </xf>
    <xf numFmtId="0" fontId="30" fillId="24" borderId="15" xfId="0" applyFont="1" applyFill="1" applyBorder="1" applyAlignment="1">
      <alignment horizontal="center" vertical="center" wrapText="1"/>
    </xf>
    <xf numFmtId="0" fontId="30" fillId="24" borderId="16" xfId="0" applyFont="1" applyFill="1" applyBorder="1" applyAlignment="1">
      <alignment horizontal="center" vertical="center" wrapText="1"/>
    </xf>
    <xf numFmtId="3" fontId="30" fillId="24" borderId="17" xfId="0" applyNumberFormat="1" applyFont="1" applyFill="1" applyBorder="1" applyAlignment="1">
      <alignment horizontal="center" vertical="center" wrapText="1"/>
    </xf>
    <xf numFmtId="2" fontId="28" fillId="0" borderId="0" xfId="0" applyNumberFormat="1" applyFont="1"/>
    <xf numFmtId="0" fontId="36" fillId="0" borderId="0" xfId="0" applyFont="1" applyAlignment="1">
      <alignment horizontal="center"/>
    </xf>
    <xf numFmtId="49" fontId="36" fillId="0" borderId="0" xfId="0" applyNumberFormat="1" applyFont="1" applyAlignment="1">
      <alignment horizontal="center"/>
    </xf>
    <xf numFmtId="0" fontId="36" fillId="0" borderId="0" xfId="0" applyFont="1"/>
    <xf numFmtId="0" fontId="12" fillId="0" borderId="0" xfId="0" applyFont="1"/>
    <xf numFmtId="3" fontId="36" fillId="0" borderId="0" xfId="0" applyNumberFormat="1" applyFont="1"/>
    <xf numFmtId="0" fontId="37" fillId="24" borderId="18" xfId="0" applyFont="1" applyFill="1" applyBorder="1" applyAlignment="1">
      <alignment horizontal="center" vertical="center"/>
    </xf>
    <xf numFmtId="49" fontId="37" fillId="24" borderId="18" xfId="0" applyNumberFormat="1" applyFont="1" applyFill="1" applyBorder="1" applyAlignment="1">
      <alignment horizontal="center" vertical="center"/>
    </xf>
    <xf numFmtId="0" fontId="37" fillId="0" borderId="0" xfId="0" applyFont="1" applyAlignment="1">
      <alignment horizontal="center" vertical="center"/>
    </xf>
    <xf numFmtId="0" fontId="37" fillId="0" borderId="19" xfId="0" applyFont="1" applyBorder="1" applyAlignment="1">
      <alignment horizontal="center"/>
    </xf>
    <xf numFmtId="0" fontId="37" fillId="0" borderId="19" xfId="0" applyFont="1" applyBorder="1" applyAlignment="1">
      <alignment horizontal="left"/>
    </xf>
    <xf numFmtId="49" fontId="37" fillId="0" borderId="19" xfId="0" applyNumberFormat="1" applyFont="1" applyBorder="1" applyAlignment="1">
      <alignment horizontal="center"/>
    </xf>
    <xf numFmtId="0" fontId="37" fillId="0" borderId="19" xfId="0" applyFont="1" applyBorder="1" applyAlignment="1">
      <alignment horizontal="center" vertical="distributed"/>
    </xf>
    <xf numFmtId="3" fontId="37" fillId="0" borderId="19" xfId="0" applyNumberFormat="1" applyFont="1" applyBorder="1" applyAlignment="1">
      <alignment horizontal="center"/>
    </xf>
    <xf numFmtId="0" fontId="37" fillId="0" borderId="0" xfId="0" applyFont="1" applyAlignment="1">
      <alignment horizontal="center"/>
    </xf>
    <xf numFmtId="0" fontId="28" fillId="0" borderId="0" xfId="0" applyFont="1" applyAlignment="1">
      <alignment horizontal="center" vertical="center"/>
    </xf>
    <xf numFmtId="172" fontId="28" fillId="0" borderId="0" xfId="0" applyNumberFormat="1" applyFont="1" applyAlignment="1">
      <alignment horizontal="right" vertical="center"/>
    </xf>
    <xf numFmtId="3" fontId="28" fillId="0" borderId="0" xfId="0" applyNumberFormat="1" applyFont="1" applyAlignment="1">
      <alignment vertical="center"/>
    </xf>
    <xf numFmtId="0" fontId="28" fillId="0" borderId="12" xfId="0" applyFont="1" applyBorder="1" applyAlignment="1">
      <alignment horizontal="center" vertical="center"/>
    </xf>
    <xf numFmtId="0" fontId="28" fillId="0" borderId="11" xfId="0" applyFont="1" applyBorder="1" applyAlignment="1">
      <alignment horizontal="left" vertical="center" wrapText="1"/>
    </xf>
    <xf numFmtId="0" fontId="35" fillId="0" borderId="0" xfId="0" applyFont="1" applyAlignment="1">
      <alignment vertical="center"/>
    </xf>
    <xf numFmtId="0" fontId="30" fillId="0" borderId="14" xfId="0" applyFont="1" applyBorder="1" applyAlignment="1">
      <alignment horizontal="justify" vertical="center" wrapText="1"/>
    </xf>
    <xf numFmtId="3" fontId="28" fillId="0" borderId="20" xfId="0" applyNumberFormat="1" applyFont="1" applyBorder="1" applyAlignment="1">
      <alignment horizontal="right" vertical="center"/>
    </xf>
    <xf numFmtId="0" fontId="28" fillId="0" borderId="21" xfId="0" applyFont="1" applyBorder="1" applyAlignment="1">
      <alignment horizontal="center" vertical="center" wrapText="1"/>
    </xf>
    <xf numFmtId="0" fontId="28" fillId="0" borderId="22" xfId="0" applyFont="1" applyBorder="1" applyAlignment="1">
      <alignment horizontal="justify" vertical="center" wrapText="1"/>
    </xf>
    <xf numFmtId="0" fontId="28" fillId="0" borderId="22" xfId="0" applyFont="1" applyBorder="1" applyAlignment="1">
      <alignment horizontal="center" vertical="center" wrapText="1"/>
    </xf>
    <xf numFmtId="3" fontId="28" fillId="0" borderId="22" xfId="0" applyNumberFormat="1" applyFont="1" applyBorder="1" applyAlignment="1">
      <alignment vertical="center"/>
    </xf>
    <xf numFmtId="172" fontId="66" fillId="0" borderId="0" xfId="0" applyNumberFormat="1" applyFont="1" applyAlignment="1">
      <alignment horizontal="right" vertical="center"/>
    </xf>
    <xf numFmtId="164" fontId="28" fillId="0" borderId="22" xfId="261" applyNumberFormat="1" applyFont="1" applyBorder="1" applyAlignment="1">
      <alignment horizontal="right" vertical="center"/>
    </xf>
    <xf numFmtId="165" fontId="28" fillId="0" borderId="11" xfId="261" applyNumberFormat="1" applyFont="1" applyBorder="1" applyAlignment="1">
      <alignment horizontal="right" vertical="center"/>
    </xf>
    <xf numFmtId="165" fontId="30" fillId="24" borderId="16" xfId="261" applyNumberFormat="1" applyFont="1" applyFill="1" applyBorder="1" applyAlignment="1">
      <alignment horizontal="center" vertical="center" wrapText="1"/>
    </xf>
    <xf numFmtId="165" fontId="28" fillId="0" borderId="0" xfId="261" applyNumberFormat="1" applyFont="1" applyAlignment="1">
      <alignment horizontal="right" vertical="center"/>
    </xf>
    <xf numFmtId="9" fontId="28" fillId="0" borderId="11" xfId="0" applyNumberFormat="1" applyFont="1" applyBorder="1" applyAlignment="1">
      <alignment horizontal="center" vertical="center" wrapText="1"/>
    </xf>
    <xf numFmtId="3" fontId="35" fillId="0" borderId="11" xfId="0" applyNumberFormat="1" applyFont="1" applyBorder="1" applyAlignment="1">
      <alignment vertical="center" wrapText="1"/>
    </xf>
    <xf numFmtId="165" fontId="35" fillId="0" borderId="11" xfId="261" applyNumberFormat="1" applyFont="1" applyBorder="1" applyAlignment="1">
      <alignment horizontal="right" vertical="center" wrapText="1"/>
    </xf>
    <xf numFmtId="3" fontId="35" fillId="0" borderId="13" xfId="0" applyNumberFormat="1" applyFont="1" applyBorder="1" applyAlignment="1">
      <alignment horizontal="right" vertical="center" wrapText="1"/>
    </xf>
    <xf numFmtId="0" fontId="35" fillId="0" borderId="0" xfId="0" applyFont="1" applyAlignment="1">
      <alignment vertical="center" wrapText="1"/>
    </xf>
    <xf numFmtId="3" fontId="28" fillId="0" borderId="11" xfId="0" applyNumberFormat="1" applyFont="1" applyBorder="1" applyAlignment="1">
      <alignment vertical="center" wrapText="1"/>
    </xf>
    <xf numFmtId="165" fontId="28" fillId="0" borderId="11" xfId="261" applyNumberFormat="1" applyFont="1" applyBorder="1" applyAlignment="1">
      <alignment horizontal="right" vertical="center" wrapText="1"/>
    </xf>
    <xf numFmtId="3" fontId="28" fillId="0" borderId="13" xfId="0" applyNumberFormat="1" applyFont="1" applyBorder="1" applyAlignment="1">
      <alignment horizontal="right" vertical="center" wrapText="1"/>
    </xf>
    <xf numFmtId="0" fontId="28" fillId="0" borderId="0" xfId="0" applyFont="1" applyAlignment="1">
      <alignment vertical="center" wrapText="1"/>
    </xf>
    <xf numFmtId="3" fontId="28" fillId="0" borderId="22" xfId="0" applyNumberFormat="1" applyFont="1" applyBorder="1" applyAlignment="1">
      <alignment vertical="center" wrapText="1"/>
    </xf>
    <xf numFmtId="165" fontId="28" fillId="0" borderId="22" xfId="261" applyNumberFormat="1" applyFont="1" applyBorder="1" applyAlignment="1">
      <alignment horizontal="right" vertical="center" wrapText="1"/>
    </xf>
    <xf numFmtId="3" fontId="28" fillId="0" borderId="20" xfId="0" applyNumberFormat="1" applyFont="1" applyBorder="1" applyAlignment="1">
      <alignment horizontal="right" vertical="center" wrapText="1"/>
    </xf>
    <xf numFmtId="3" fontId="30" fillId="0" borderId="11" xfId="0" applyNumberFormat="1" applyFont="1" applyBorder="1" applyAlignment="1">
      <alignment vertical="center" wrapText="1"/>
    </xf>
    <xf numFmtId="165" fontId="30" fillId="0" borderId="11" xfId="261" applyNumberFormat="1" applyFont="1" applyBorder="1" applyAlignment="1">
      <alignment horizontal="right" vertical="center" wrapText="1"/>
    </xf>
    <xf numFmtId="3" fontId="30" fillId="0" borderId="13" xfId="0" applyNumberFormat="1" applyFont="1" applyBorder="1" applyAlignment="1">
      <alignment horizontal="right" vertical="center" wrapText="1"/>
    </xf>
    <xf numFmtId="3" fontId="28" fillId="0" borderId="14" xfId="0" applyNumberFormat="1" applyFont="1" applyBorder="1" applyAlignment="1">
      <alignment vertical="center" wrapText="1"/>
    </xf>
    <xf numFmtId="165" fontId="28" fillId="0" borderId="14" xfId="261" applyNumberFormat="1" applyFont="1" applyBorder="1" applyAlignment="1">
      <alignment horizontal="right" vertical="center" wrapText="1"/>
    </xf>
    <xf numFmtId="0" fontId="28" fillId="0" borderId="0" xfId="0" applyFont="1" applyAlignment="1">
      <alignment horizontal="center" vertical="center" wrapText="1"/>
    </xf>
    <xf numFmtId="165" fontId="28" fillId="0" borderId="0" xfId="261" applyNumberFormat="1" applyFont="1" applyAlignment="1">
      <alignment horizontal="center" vertical="center" wrapText="1"/>
    </xf>
    <xf numFmtId="3" fontId="28" fillId="0" borderId="0" xfId="0" applyNumberFormat="1" applyFont="1" applyAlignment="1">
      <alignment horizontal="left" vertical="center" wrapText="1"/>
    </xf>
    <xf numFmtId="3" fontId="28" fillId="0" borderId="0" xfId="0" applyNumberFormat="1" applyFont="1" applyAlignment="1">
      <alignment horizontal="right" vertical="center" wrapText="1"/>
    </xf>
    <xf numFmtId="0" fontId="66" fillId="0" borderId="0" xfId="0" applyFont="1" applyAlignment="1">
      <alignment horizontal="right" vertical="center" wrapText="1"/>
    </xf>
    <xf numFmtId="0" fontId="67" fillId="24" borderId="16" xfId="0" applyFont="1" applyFill="1" applyBorder="1" applyAlignment="1">
      <alignment horizontal="center" vertical="center" wrapText="1"/>
    </xf>
    <xf numFmtId="0" fontId="36" fillId="0" borderId="11" xfId="0" applyFont="1" applyBorder="1" applyAlignment="1">
      <alignment horizontal="center" vertical="center" wrapText="1"/>
    </xf>
    <xf numFmtId="49" fontId="36" fillId="0" borderId="11" xfId="0" applyNumberFormat="1" applyFont="1" applyBorder="1" applyAlignment="1">
      <alignment horizontal="center" vertical="center" wrapText="1"/>
    </xf>
    <xf numFmtId="0" fontId="36" fillId="0" borderId="11" xfId="0" applyFont="1" applyBorder="1" applyAlignment="1">
      <alignment vertical="center" wrapText="1"/>
    </xf>
    <xf numFmtId="0" fontId="37" fillId="27" borderId="23" xfId="0" applyFont="1" applyFill="1" applyBorder="1" applyAlignment="1">
      <alignment horizontal="center" vertical="center" wrapText="1"/>
    </xf>
    <xf numFmtId="49" fontId="36" fillId="0" borderId="12" xfId="0" applyNumberFormat="1" applyFont="1" applyBorder="1" applyAlignment="1">
      <alignment horizontal="center" vertical="center" wrapText="1"/>
    </xf>
    <xf numFmtId="0" fontId="37" fillId="0" borderId="0" xfId="0" applyFont="1" applyAlignment="1">
      <alignment horizontal="center" vertical="center" wrapText="1"/>
    </xf>
    <xf numFmtId="0" fontId="36" fillId="0" borderId="0" xfId="0" applyFont="1" applyAlignment="1">
      <alignment horizontal="center" vertical="center" wrapText="1"/>
    </xf>
    <xf numFmtId="0" fontId="36" fillId="0" borderId="0" xfId="0" applyFont="1" applyAlignment="1">
      <alignmen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vertical="center" wrapText="1"/>
    </xf>
    <xf numFmtId="0" fontId="37" fillId="0" borderId="0" xfId="0" applyFont="1" applyAlignment="1">
      <alignment horizontal="left" vertical="center" wrapText="1"/>
    </xf>
    <xf numFmtId="49" fontId="36" fillId="0" borderId="0" xfId="0" applyNumberFormat="1" applyFont="1" applyAlignment="1">
      <alignment horizontal="center" vertical="center" wrapText="1"/>
    </xf>
    <xf numFmtId="3" fontId="36" fillId="0" borderId="14" xfId="0" applyNumberFormat="1" applyFont="1" applyBorder="1" applyAlignment="1">
      <alignment horizontal="right" vertical="center" wrapText="1"/>
    </xf>
    <xf numFmtId="3" fontId="36" fillId="0" borderId="24" xfId="0" applyNumberFormat="1" applyFont="1" applyBorder="1" applyAlignment="1">
      <alignment horizontal="right" vertical="center" wrapText="1"/>
    </xf>
    <xf numFmtId="3" fontId="39" fillId="0" borderId="11" xfId="0" applyNumberFormat="1" applyFont="1" applyBorder="1" applyAlignment="1">
      <alignment horizontal="right" vertical="center" wrapText="1"/>
    </xf>
    <xf numFmtId="3" fontId="39" fillId="0" borderId="13" xfId="0" applyNumberFormat="1" applyFont="1" applyBorder="1" applyAlignment="1">
      <alignment horizontal="right" vertical="center" wrapText="1"/>
    </xf>
    <xf numFmtId="3" fontId="36" fillId="0" borderId="11" xfId="0" applyNumberFormat="1" applyFont="1" applyBorder="1" applyAlignment="1">
      <alignment horizontal="right" vertical="center" wrapText="1"/>
    </xf>
    <xf numFmtId="3" fontId="36" fillId="0" borderId="13" xfId="0" applyNumberFormat="1" applyFont="1" applyBorder="1" applyAlignment="1">
      <alignment horizontal="right" vertical="center" wrapText="1"/>
    </xf>
    <xf numFmtId="3" fontId="36" fillId="0" borderId="25" xfId="0" applyNumberFormat="1" applyFont="1" applyBorder="1" applyAlignment="1">
      <alignment horizontal="right" vertical="center" wrapText="1"/>
    </xf>
    <xf numFmtId="3" fontId="36" fillId="0" borderId="26" xfId="0" applyNumberFormat="1" applyFont="1" applyBorder="1" applyAlignment="1">
      <alignment horizontal="right" vertical="center" wrapText="1"/>
    </xf>
    <xf numFmtId="49" fontId="36" fillId="0" borderId="21" xfId="0" applyNumberFormat="1" applyFont="1" applyBorder="1" applyAlignment="1">
      <alignment horizontal="center" vertical="center" wrapText="1"/>
    </xf>
    <xf numFmtId="0" fontId="36" fillId="0" borderId="22" xfId="0" applyFont="1" applyBorder="1" applyAlignment="1">
      <alignment vertical="center" wrapText="1"/>
    </xf>
    <xf numFmtId="49" fontId="36" fillId="0" borderId="22" xfId="0" applyNumberFormat="1" applyFont="1" applyBorder="1" applyAlignment="1">
      <alignment horizontal="center" vertical="center" wrapText="1"/>
    </xf>
    <xf numFmtId="0" fontId="36" fillId="0" borderId="22" xfId="0" applyFont="1" applyBorder="1" applyAlignment="1">
      <alignment horizontal="center" vertical="center" wrapText="1"/>
    </xf>
    <xf numFmtId="0" fontId="36" fillId="0" borderId="27" xfId="0" applyFont="1" applyBorder="1" applyAlignment="1">
      <alignment horizontal="center" vertical="center" wrapText="1"/>
    </xf>
    <xf numFmtId="0" fontId="37" fillId="27" borderId="28" xfId="0" applyFont="1" applyFill="1" applyBorder="1" applyAlignment="1">
      <alignment horizontal="center" vertical="center" wrapText="1"/>
    </xf>
    <xf numFmtId="0" fontId="13" fillId="0" borderId="0" xfId="0" applyFont="1" applyAlignment="1">
      <alignment vertical="center" wrapText="1"/>
    </xf>
    <xf numFmtId="2" fontId="36" fillId="0" borderId="0" xfId="0" applyNumberFormat="1" applyFont="1" applyAlignment="1">
      <alignment horizontal="center" vertical="center" wrapText="1"/>
    </xf>
    <xf numFmtId="3" fontId="36" fillId="0" borderId="0" xfId="0" applyNumberFormat="1" applyFont="1" applyAlignment="1">
      <alignment horizontal="center" vertical="center" wrapText="1"/>
    </xf>
    <xf numFmtId="165" fontId="36" fillId="0" borderId="0" xfId="262" applyNumberFormat="1" applyFont="1" applyFill="1" applyAlignment="1">
      <alignment horizontal="center" vertical="center" wrapText="1"/>
    </xf>
    <xf numFmtId="49" fontId="37" fillId="28" borderId="29" xfId="0" applyNumberFormat="1" applyFont="1" applyFill="1" applyBorder="1" applyAlignment="1">
      <alignment horizontal="center" vertical="center" wrapText="1"/>
    </xf>
    <xf numFmtId="49" fontId="37" fillId="27" borderId="30" xfId="0" applyNumberFormat="1" applyFont="1" applyFill="1" applyBorder="1" applyAlignment="1">
      <alignment horizontal="center" vertical="center" wrapText="1"/>
    </xf>
    <xf numFmtId="0" fontId="39" fillId="0" borderId="0" xfId="0" applyFont="1" applyAlignment="1">
      <alignment vertical="center" wrapText="1"/>
    </xf>
    <xf numFmtId="2" fontId="36" fillId="0" borderId="11" xfId="0" applyNumberFormat="1" applyFont="1" applyBorder="1" applyAlignment="1">
      <alignment horizontal="center" vertical="center" wrapText="1"/>
    </xf>
    <xf numFmtId="3" fontId="36" fillId="0" borderId="13" xfId="0" applyNumberFormat="1" applyFont="1" applyBorder="1" applyAlignment="1">
      <alignment vertical="center" wrapText="1"/>
    </xf>
    <xf numFmtId="2" fontId="36" fillId="0" borderId="22" xfId="0" applyNumberFormat="1" applyFont="1" applyBorder="1" applyAlignment="1">
      <alignment horizontal="center" vertical="center" wrapText="1"/>
    </xf>
    <xf numFmtId="3" fontId="36" fillId="0" borderId="20" xfId="0" applyNumberFormat="1" applyFont="1" applyBorder="1" applyAlignment="1">
      <alignment vertical="center" wrapText="1"/>
    </xf>
    <xf numFmtId="3" fontId="36" fillId="0" borderId="11" xfId="0" applyNumberFormat="1" applyFont="1" applyBorder="1" applyAlignment="1">
      <alignment vertical="center" wrapText="1"/>
    </xf>
    <xf numFmtId="3" fontId="36" fillId="0" borderId="22" xfId="0" applyNumberFormat="1" applyFont="1" applyBorder="1" applyAlignment="1">
      <alignment vertical="center" wrapText="1"/>
    </xf>
    <xf numFmtId="3" fontId="36" fillId="0" borderId="0" xfId="0" applyNumberFormat="1" applyFont="1" applyAlignment="1">
      <alignment vertical="center" wrapText="1"/>
    </xf>
    <xf numFmtId="49" fontId="36" fillId="0" borderId="27" xfId="0" applyNumberFormat="1" applyFont="1" applyBorder="1" applyAlignment="1">
      <alignment horizontal="center" vertical="center" wrapText="1"/>
    </xf>
    <xf numFmtId="0" fontId="12" fillId="0" borderId="0" xfId="0" applyFont="1" applyAlignment="1">
      <alignment horizontal="center"/>
    </xf>
    <xf numFmtId="0" fontId="37" fillId="28" borderId="31" xfId="0" applyFont="1" applyFill="1" applyBorder="1" applyAlignment="1">
      <alignment vertical="center" wrapText="1"/>
    </xf>
    <xf numFmtId="0" fontId="36" fillId="0" borderId="12" xfId="0" applyFont="1" applyBorder="1" applyAlignment="1">
      <alignment horizontal="center" vertical="center" wrapText="1"/>
    </xf>
    <xf numFmtId="0" fontId="39" fillId="0" borderId="11" xfId="0" applyFont="1" applyBorder="1" applyAlignment="1">
      <alignment horizontal="center" vertical="center" wrapText="1"/>
    </xf>
    <xf numFmtId="0" fontId="39" fillId="0" borderId="11" xfId="0" applyFont="1" applyBorder="1" applyAlignment="1">
      <alignment vertical="center" wrapText="1"/>
    </xf>
    <xf numFmtId="0" fontId="39" fillId="0" borderId="12" xfId="0" applyFont="1" applyBorder="1" applyAlignment="1">
      <alignment horizontal="center" vertical="center" wrapText="1"/>
    </xf>
    <xf numFmtId="0" fontId="36" fillId="0" borderId="21" xfId="0" applyFont="1" applyBorder="1" applyAlignment="1">
      <alignment horizontal="center" vertical="center" wrapText="1"/>
    </xf>
    <xf numFmtId="0" fontId="36" fillId="0" borderId="32" xfId="0" applyFont="1" applyBorder="1" applyAlignment="1">
      <alignment horizontal="center" vertical="center" wrapText="1"/>
    </xf>
    <xf numFmtId="0" fontId="36" fillId="0" borderId="25" xfId="0" applyFont="1" applyBorder="1" applyAlignment="1">
      <alignment horizontal="center" vertical="center" wrapText="1"/>
    </xf>
    <xf numFmtId="3" fontId="37" fillId="27" borderId="11" xfId="0" applyNumberFormat="1" applyFont="1" applyFill="1" applyBorder="1" applyAlignment="1">
      <alignment horizontal="right" vertical="center" wrapText="1"/>
    </xf>
    <xf numFmtId="3" fontId="37" fillId="28" borderId="11" xfId="0" applyNumberFormat="1" applyFont="1" applyFill="1" applyBorder="1" applyAlignment="1">
      <alignment horizontal="right" vertical="center" wrapText="1"/>
    </xf>
    <xf numFmtId="3" fontId="37" fillId="29" borderId="11" xfId="0" applyNumberFormat="1" applyFont="1" applyFill="1" applyBorder="1" applyAlignment="1">
      <alignment horizontal="right" vertical="center" wrapText="1"/>
    </xf>
    <xf numFmtId="0" fontId="36" fillId="0" borderId="25" xfId="0" applyFont="1" applyBorder="1" applyAlignment="1">
      <alignment vertical="center" wrapText="1"/>
    </xf>
    <xf numFmtId="0" fontId="37" fillId="27" borderId="12" xfId="0" applyFont="1" applyFill="1" applyBorder="1" applyAlignment="1">
      <alignment horizontal="center" vertical="center" wrapText="1"/>
    </xf>
    <xf numFmtId="0" fontId="37" fillId="27" borderId="11" xfId="0" applyFont="1" applyFill="1" applyBorder="1" applyAlignment="1">
      <alignment horizontal="left" vertical="center" wrapText="1"/>
    </xf>
    <xf numFmtId="0" fontId="37" fillId="28" borderId="12" xfId="0" applyFont="1" applyFill="1" applyBorder="1" applyAlignment="1">
      <alignment horizontal="center" vertical="center" wrapText="1"/>
    </xf>
    <xf numFmtId="0" fontId="37" fillId="28" borderId="11" xfId="0" applyFont="1" applyFill="1" applyBorder="1" applyAlignment="1">
      <alignment vertical="center" wrapText="1"/>
    </xf>
    <xf numFmtId="0" fontId="37" fillId="27" borderId="11" xfId="0" applyFont="1" applyFill="1" applyBorder="1" applyAlignment="1">
      <alignment horizontal="center" vertical="center" wrapText="1"/>
    </xf>
    <xf numFmtId="173" fontId="36" fillId="0" borderId="11" xfId="0" applyNumberFormat="1" applyFont="1" applyBorder="1" applyAlignment="1">
      <alignment horizontal="right" vertical="center" wrapText="1"/>
    </xf>
    <xf numFmtId="3" fontId="37" fillId="29" borderId="13" xfId="0" applyNumberFormat="1" applyFont="1" applyFill="1" applyBorder="1" applyAlignment="1">
      <alignment horizontal="right" vertical="center" wrapText="1"/>
    </xf>
    <xf numFmtId="3" fontId="37" fillId="27" borderId="14" xfId="0" applyNumberFormat="1" applyFont="1" applyFill="1" applyBorder="1" applyAlignment="1">
      <alignment horizontal="right" vertical="center" wrapText="1"/>
    </xf>
    <xf numFmtId="3" fontId="37" fillId="29" borderId="14" xfId="0" applyNumberFormat="1" applyFont="1" applyFill="1" applyBorder="1" applyAlignment="1">
      <alignment horizontal="right" vertical="center" wrapText="1"/>
    </xf>
    <xf numFmtId="3" fontId="37" fillId="29" borderId="24" xfId="0" applyNumberFormat="1" applyFont="1" applyFill="1" applyBorder="1" applyAlignment="1">
      <alignment horizontal="right" vertical="center" wrapText="1"/>
    </xf>
    <xf numFmtId="3" fontId="36" fillId="0" borderId="22" xfId="0" applyNumberFormat="1" applyFont="1" applyBorder="1" applyAlignment="1">
      <alignment horizontal="right" vertical="center" wrapText="1"/>
    </xf>
    <xf numFmtId="3" fontId="36" fillId="0" borderId="20" xfId="0" applyNumberFormat="1" applyFont="1" applyBorder="1" applyAlignment="1">
      <alignment horizontal="right" vertical="center" wrapText="1"/>
    </xf>
    <xf numFmtId="0" fontId="37" fillId="24" borderId="33" xfId="0" applyFont="1" applyFill="1" applyBorder="1" applyAlignment="1">
      <alignment horizontal="center" vertical="center"/>
    </xf>
    <xf numFmtId="49" fontId="37" fillId="24" borderId="33" xfId="0" applyNumberFormat="1" applyFont="1" applyFill="1" applyBorder="1" applyAlignment="1">
      <alignment horizontal="center" vertical="center"/>
    </xf>
    <xf numFmtId="172" fontId="37" fillId="24" borderId="33" xfId="0" applyNumberFormat="1" applyFont="1" applyFill="1" applyBorder="1" applyAlignment="1">
      <alignment horizontal="center" vertical="center"/>
    </xf>
    <xf numFmtId="0" fontId="37" fillId="27" borderId="14" xfId="0" applyFont="1" applyFill="1" applyBorder="1" applyAlignment="1">
      <alignment horizontal="left" vertical="center" wrapText="1"/>
    </xf>
    <xf numFmtId="3" fontId="36" fillId="29" borderId="24" xfId="0" applyNumberFormat="1" applyFont="1" applyFill="1" applyBorder="1" applyAlignment="1">
      <alignment horizontal="right" vertical="center" wrapText="1"/>
    </xf>
    <xf numFmtId="0" fontId="36" fillId="0" borderId="34" xfId="0" applyFont="1" applyBorder="1" applyAlignment="1">
      <alignment horizontal="center" vertical="center" wrapText="1"/>
    </xf>
    <xf numFmtId="0" fontId="36" fillId="0" borderId="14" xfId="0" applyFont="1" applyBorder="1" applyAlignment="1">
      <alignment horizontal="center" vertical="center" wrapText="1"/>
    </xf>
    <xf numFmtId="3" fontId="36" fillId="0" borderId="27" xfId="0" applyNumberFormat="1" applyFont="1" applyBorder="1" applyAlignment="1">
      <alignment horizontal="right" vertical="center" wrapText="1"/>
    </xf>
    <xf numFmtId="3" fontId="37" fillId="27" borderId="27" xfId="0" applyNumberFormat="1" applyFont="1" applyFill="1" applyBorder="1" applyAlignment="1">
      <alignment horizontal="right" vertical="center" wrapText="1"/>
    </xf>
    <xf numFmtId="3" fontId="37" fillId="28" borderId="27" xfId="0" applyNumberFormat="1" applyFont="1" applyFill="1" applyBorder="1" applyAlignment="1">
      <alignment horizontal="right" vertical="center" wrapText="1"/>
    </xf>
    <xf numFmtId="3" fontId="39" fillId="0" borderId="27" xfId="0" applyNumberFormat="1" applyFont="1" applyBorder="1" applyAlignment="1">
      <alignment horizontal="right" vertical="center" wrapText="1"/>
    </xf>
    <xf numFmtId="172" fontId="37" fillId="24" borderId="35" xfId="0" applyNumberFormat="1" applyFont="1" applyFill="1" applyBorder="1" applyAlignment="1">
      <alignment horizontal="center" vertical="center"/>
    </xf>
    <xf numFmtId="3" fontId="37" fillId="24" borderId="14" xfId="0" applyNumberFormat="1" applyFont="1" applyFill="1" applyBorder="1" applyAlignment="1">
      <alignment horizontal="center" vertical="center"/>
    </xf>
    <xf numFmtId="3" fontId="37" fillId="27" borderId="36" xfId="0" applyNumberFormat="1" applyFont="1" applyFill="1" applyBorder="1" applyAlignment="1">
      <alignment horizontal="right" vertical="center" wrapText="1"/>
    </xf>
    <xf numFmtId="3" fontId="36" fillId="0" borderId="36" xfId="0" applyNumberFormat="1" applyFont="1" applyBorder="1" applyAlignment="1">
      <alignment horizontal="right" vertical="center" wrapText="1"/>
    </xf>
    <xf numFmtId="3" fontId="36" fillId="0" borderId="37" xfId="0" applyNumberFormat="1" applyFont="1" applyBorder="1" applyAlignment="1">
      <alignment horizontal="right" vertical="center" wrapText="1"/>
    </xf>
    <xf numFmtId="4" fontId="37" fillId="24" borderId="33" xfId="0" applyNumberFormat="1" applyFont="1" applyFill="1" applyBorder="1" applyAlignment="1">
      <alignment horizontal="center" vertical="center" wrapText="1"/>
    </xf>
    <xf numFmtId="172" fontId="37" fillId="24" borderId="35" xfId="0" applyNumberFormat="1" applyFont="1" applyFill="1" applyBorder="1" applyAlignment="1">
      <alignment horizontal="center" vertical="center" wrapText="1"/>
    </xf>
    <xf numFmtId="3" fontId="37" fillId="24" borderId="24" xfId="0" applyNumberFormat="1" applyFont="1" applyFill="1" applyBorder="1" applyAlignment="1">
      <alignment horizontal="center" vertical="center" wrapText="1"/>
    </xf>
    <xf numFmtId="3" fontId="37" fillId="24" borderId="14" xfId="0" applyNumberFormat="1" applyFont="1" applyFill="1" applyBorder="1" applyAlignment="1">
      <alignment horizontal="center" vertical="center" wrapText="1"/>
    </xf>
    <xf numFmtId="0" fontId="37" fillId="27" borderId="38" xfId="0" applyFont="1" applyFill="1" applyBorder="1" applyAlignment="1">
      <alignment horizontal="left" vertical="center" wrapText="1"/>
    </xf>
    <xf numFmtId="3" fontId="37" fillId="27" borderId="38" xfId="0" applyNumberFormat="1" applyFont="1" applyFill="1" applyBorder="1" applyAlignment="1">
      <alignment horizontal="right" vertical="center" wrapText="1"/>
    </xf>
    <xf numFmtId="3" fontId="36" fillId="29" borderId="38" xfId="0" applyNumberFormat="1" applyFont="1" applyFill="1" applyBorder="1" applyAlignment="1">
      <alignment horizontal="right" vertical="center" wrapText="1"/>
    </xf>
    <xf numFmtId="0" fontId="36" fillId="0" borderId="39" xfId="0" applyFont="1" applyBorder="1" applyAlignment="1">
      <alignment horizontal="center" vertical="center" wrapText="1"/>
    </xf>
    <xf numFmtId="0" fontId="36" fillId="0" borderId="39" xfId="0" applyFont="1" applyBorder="1" applyAlignment="1">
      <alignment vertical="center" wrapText="1"/>
    </xf>
    <xf numFmtId="3" fontId="36" fillId="0" borderId="39" xfId="0" applyNumberFormat="1" applyFont="1" applyBorder="1" applyAlignment="1">
      <alignment horizontal="right" vertical="center" wrapText="1"/>
    </xf>
    <xf numFmtId="3" fontId="36" fillId="0" borderId="40" xfId="0" applyNumberFormat="1" applyFont="1" applyBorder="1" applyAlignment="1">
      <alignment horizontal="right" vertical="center" wrapText="1"/>
    </xf>
    <xf numFmtId="173" fontId="36" fillId="0" borderId="22" xfId="0" applyNumberFormat="1" applyFont="1" applyBorder="1" applyAlignment="1">
      <alignment horizontal="right" vertical="center" wrapText="1"/>
    </xf>
    <xf numFmtId="0" fontId="30" fillId="0" borderId="0" xfId="0" applyFont="1" applyAlignment="1">
      <alignment horizontal="center" vertical="center"/>
    </xf>
    <xf numFmtId="0" fontId="30" fillId="0" borderId="0" xfId="0" applyFont="1" applyAlignment="1">
      <alignment horizontal="center" vertical="center" wrapText="1"/>
    </xf>
    <xf numFmtId="0" fontId="36" fillId="0" borderId="0" xfId="0" applyFont="1" applyAlignment="1">
      <alignment horizontal="left" vertical="center" wrapText="1"/>
    </xf>
    <xf numFmtId="3" fontId="36" fillId="0" borderId="0" xfId="0" applyNumberFormat="1" applyFont="1" applyAlignment="1">
      <alignment horizontal="right" vertical="center" wrapText="1"/>
    </xf>
    <xf numFmtId="0" fontId="37" fillId="0" borderId="14" xfId="0" applyFont="1" applyBorder="1" applyAlignment="1">
      <alignment vertical="center" wrapText="1"/>
    </xf>
    <xf numFmtId="0" fontId="39" fillId="0" borderId="21" xfId="0" applyFont="1" applyBorder="1" applyAlignment="1">
      <alignment horizontal="center" vertical="center" wrapText="1"/>
    </xf>
    <xf numFmtId="0" fontId="39" fillId="0" borderId="22" xfId="0" applyFont="1" applyBorder="1" applyAlignment="1">
      <alignment vertical="center" wrapText="1"/>
    </xf>
    <xf numFmtId="0" fontId="39" fillId="0" borderId="22" xfId="0" applyFont="1" applyBorder="1" applyAlignment="1">
      <alignment horizontal="center" vertical="center" wrapText="1"/>
    </xf>
    <xf numFmtId="3" fontId="39" fillId="0" borderId="22" xfId="0" applyNumberFormat="1" applyFont="1" applyBorder="1" applyAlignment="1">
      <alignment horizontal="right" vertical="center" wrapText="1"/>
    </xf>
    <xf numFmtId="3" fontId="39" fillId="0" borderId="37" xfId="0" applyNumberFormat="1" applyFont="1" applyBorder="1" applyAlignment="1">
      <alignment horizontal="right" vertical="center" wrapText="1"/>
    </xf>
    <xf numFmtId="3" fontId="39" fillId="0" borderId="20" xfId="0" applyNumberFormat="1" applyFont="1" applyBorder="1" applyAlignment="1">
      <alignment horizontal="right" vertical="center" wrapText="1"/>
    </xf>
    <xf numFmtId="3" fontId="37" fillId="28" borderId="13" xfId="0" applyNumberFormat="1" applyFont="1" applyFill="1" applyBorder="1" applyAlignment="1">
      <alignment horizontal="right" vertical="center" wrapText="1"/>
    </xf>
    <xf numFmtId="3" fontId="28" fillId="0" borderId="11" xfId="0" applyNumberFormat="1" applyFont="1" applyBorder="1" applyAlignment="1">
      <alignment horizontal="right" vertical="center"/>
    </xf>
    <xf numFmtId="3" fontId="30" fillId="0" borderId="11" xfId="0" applyNumberFormat="1" applyFont="1" applyBorder="1" applyAlignment="1">
      <alignment horizontal="right" vertical="center"/>
    </xf>
    <xf numFmtId="0" fontId="30" fillId="0" borderId="11" xfId="0" applyFont="1" applyBorder="1" applyAlignment="1">
      <alignment horizontal="left" vertical="center" wrapText="1"/>
    </xf>
    <xf numFmtId="3" fontId="30" fillId="0" borderId="0" xfId="0" applyNumberFormat="1" applyFont="1" applyAlignment="1">
      <alignment vertical="center"/>
    </xf>
    <xf numFmtId="3" fontId="28" fillId="0" borderId="13" xfId="0" applyNumberFormat="1" applyFont="1" applyBorder="1" applyAlignment="1">
      <alignment vertical="center"/>
    </xf>
    <xf numFmtId="0" fontId="28" fillId="0" borderId="22" xfId="0" applyFont="1" applyBorder="1" applyAlignment="1">
      <alignment vertical="center"/>
    </xf>
    <xf numFmtId="0" fontId="28" fillId="0" borderId="22" xfId="0" applyFont="1" applyBorder="1" applyAlignment="1">
      <alignment horizontal="center" vertical="center"/>
    </xf>
    <xf numFmtId="3" fontId="28" fillId="0" borderId="20" xfId="0" applyNumberFormat="1" applyFont="1" applyBorder="1" applyAlignment="1">
      <alignment vertical="center"/>
    </xf>
    <xf numFmtId="172" fontId="30" fillId="0" borderId="0" xfId="0" applyNumberFormat="1" applyFont="1" applyAlignment="1">
      <alignment vertical="center"/>
    </xf>
    <xf numFmtId="172" fontId="28" fillId="0" borderId="0" xfId="0" applyNumberFormat="1" applyFont="1" applyAlignment="1">
      <alignment vertical="center"/>
    </xf>
    <xf numFmtId="0" fontId="28" fillId="0" borderId="11" xfId="0" applyFont="1" applyBorder="1" applyAlignment="1">
      <alignment vertical="center"/>
    </xf>
    <xf numFmtId="0" fontId="28" fillId="0" borderId="11" xfId="0" applyFont="1" applyBorder="1" applyAlignment="1">
      <alignment horizontal="center" vertical="center"/>
    </xf>
    <xf numFmtId="0" fontId="28" fillId="0" borderId="32" xfId="0" applyFont="1" applyBorder="1" applyAlignment="1">
      <alignment horizontal="center" vertical="center"/>
    </xf>
    <xf numFmtId="0" fontId="28" fillId="0" borderId="25" xfId="0" applyFont="1" applyBorder="1" applyAlignment="1">
      <alignment vertical="center"/>
    </xf>
    <xf numFmtId="0" fontId="28" fillId="0" borderId="34" xfId="0" applyFont="1" applyBorder="1" applyAlignment="1">
      <alignment horizontal="center" vertical="center"/>
    </xf>
    <xf numFmtId="0" fontId="28" fillId="0" borderId="14" xfId="0" applyFont="1" applyBorder="1" applyAlignment="1">
      <alignment vertical="center"/>
    </xf>
    <xf numFmtId="0" fontId="28" fillId="0" borderId="14" xfId="0" applyFont="1" applyBorder="1" applyAlignment="1">
      <alignment horizontal="center" vertical="center"/>
    </xf>
    <xf numFmtId="0" fontId="33" fillId="25" borderId="41" xfId="0" applyFont="1" applyFill="1" applyBorder="1" applyAlignment="1">
      <alignment horizontal="justify" vertical="center" wrapText="1"/>
    </xf>
    <xf numFmtId="3" fontId="28" fillId="0" borderId="24" xfId="0" applyNumberFormat="1" applyFont="1" applyBorder="1" applyAlignment="1">
      <alignment horizontal="right" vertical="center" wrapText="1"/>
    </xf>
    <xf numFmtId="0" fontId="35" fillId="0" borderId="27" xfId="0" applyFont="1" applyBorder="1" applyAlignment="1">
      <alignment horizontal="justify" vertical="center" wrapText="1"/>
    </xf>
    <xf numFmtId="0" fontId="35" fillId="0" borderId="42" xfId="0" applyFont="1" applyBorder="1" applyAlignment="1">
      <alignment horizontal="center" vertical="center" wrapText="1"/>
    </xf>
    <xf numFmtId="0" fontId="35" fillId="0" borderId="43" xfId="0" applyFont="1" applyBorder="1" applyAlignment="1">
      <alignment horizontal="center" vertical="center" wrapText="1"/>
    </xf>
    <xf numFmtId="165" fontId="28" fillId="0" borderId="0" xfId="261" applyNumberFormat="1" applyFont="1" applyAlignment="1">
      <alignment vertical="center"/>
    </xf>
    <xf numFmtId="172" fontId="66" fillId="0" borderId="0" xfId="0" applyNumberFormat="1" applyFont="1" applyAlignment="1">
      <alignment vertical="center"/>
    </xf>
    <xf numFmtId="0" fontId="30" fillId="0" borderId="11" xfId="0" applyFont="1" applyBorder="1" applyAlignment="1">
      <alignment vertical="center"/>
    </xf>
    <xf numFmtId="165" fontId="28" fillId="0" borderId="11" xfId="261" applyNumberFormat="1" applyFont="1" applyBorder="1" applyAlignment="1">
      <alignment vertical="center"/>
    </xf>
    <xf numFmtId="3" fontId="28" fillId="0" borderId="25" xfId="0" applyNumberFormat="1" applyFont="1" applyBorder="1" applyAlignment="1">
      <alignment vertical="center"/>
    </xf>
    <xf numFmtId="3" fontId="28" fillId="0" borderId="26" xfId="0" applyNumberFormat="1" applyFont="1" applyBorder="1" applyAlignment="1">
      <alignment vertical="center"/>
    </xf>
    <xf numFmtId="165" fontId="28" fillId="0" borderId="22" xfId="261" applyNumberFormat="1" applyFont="1" applyBorder="1" applyAlignment="1">
      <alignment vertical="center"/>
    </xf>
    <xf numFmtId="172" fontId="66" fillId="0" borderId="22" xfId="0" applyNumberFormat="1" applyFont="1" applyBorder="1" applyAlignment="1">
      <alignment vertical="center"/>
    </xf>
    <xf numFmtId="0" fontId="30" fillId="0" borderId="11" xfId="0" applyFont="1" applyBorder="1" applyAlignment="1">
      <alignment horizontal="center" vertical="center"/>
    </xf>
    <xf numFmtId="165" fontId="30" fillId="0" borderId="11" xfId="261" applyNumberFormat="1" applyFont="1" applyBorder="1" applyAlignment="1">
      <alignment vertical="center"/>
    </xf>
    <xf numFmtId="3" fontId="30" fillId="0" borderId="13" xfId="0" applyNumberFormat="1" applyFont="1" applyBorder="1" applyAlignment="1">
      <alignment vertical="center"/>
    </xf>
    <xf numFmtId="2" fontId="30" fillId="0" borderId="11" xfId="0" applyNumberFormat="1" applyFont="1" applyBorder="1" applyAlignment="1">
      <alignment horizontal="center" vertical="top" wrapText="1"/>
    </xf>
    <xf numFmtId="177" fontId="67" fillId="24" borderId="14" xfId="0" applyNumberFormat="1" applyFont="1" applyFill="1" applyBorder="1" applyAlignment="1">
      <alignment horizontal="center" vertical="center" wrapText="1"/>
    </xf>
    <xf numFmtId="3" fontId="30" fillId="30" borderId="24" xfId="0" applyNumberFormat="1" applyFont="1" applyFill="1" applyBorder="1" applyAlignment="1">
      <alignment horizontal="center" vertical="center" wrapText="1"/>
    </xf>
    <xf numFmtId="3" fontId="30" fillId="30" borderId="36" xfId="0" applyNumberFormat="1" applyFont="1" applyFill="1" applyBorder="1" applyAlignment="1">
      <alignment horizontal="center" vertical="center" wrapText="1"/>
    </xf>
    <xf numFmtId="3" fontId="28" fillId="0" borderId="27" xfId="0" applyNumberFormat="1" applyFont="1" applyBorder="1" applyAlignment="1">
      <alignment horizontal="right" vertical="center"/>
    </xf>
    <xf numFmtId="3" fontId="28" fillId="0" borderId="27" xfId="0" applyNumberFormat="1" applyFont="1" applyBorder="1" applyAlignment="1">
      <alignment vertical="center"/>
    </xf>
    <xf numFmtId="3" fontId="28" fillId="0" borderId="37" xfId="0" applyNumberFormat="1" applyFont="1" applyBorder="1" applyAlignment="1">
      <alignment vertical="center"/>
    </xf>
    <xf numFmtId="174" fontId="33" fillId="25" borderId="41" xfId="261" applyNumberFormat="1" applyFont="1" applyFill="1" applyBorder="1" applyAlignment="1">
      <alignment horizontal="justify" vertical="center" wrapText="1"/>
    </xf>
    <xf numFmtId="174" fontId="68" fillId="0" borderId="11" xfId="261" applyNumberFormat="1" applyFont="1" applyBorder="1" applyAlignment="1">
      <alignment horizontal="right" vertical="center" wrapText="1"/>
    </xf>
    <xf numFmtId="174" fontId="66" fillId="0" borderId="22" xfId="261" applyNumberFormat="1" applyFont="1" applyBorder="1" applyAlignment="1">
      <alignment horizontal="right" vertical="center" wrapText="1"/>
    </xf>
    <xf numFmtId="165" fontId="28" fillId="0" borderId="0" xfId="261" applyNumberFormat="1" applyFont="1" applyAlignment="1">
      <alignment horizontal="center" vertical="center"/>
    </xf>
    <xf numFmtId="4" fontId="28" fillId="0" borderId="0" xfId="0" applyNumberFormat="1" applyFont="1" applyAlignment="1">
      <alignment horizontal="right" vertical="center"/>
    </xf>
    <xf numFmtId="3" fontId="28" fillId="0" borderId="0" xfId="0" applyNumberFormat="1" applyFont="1" applyAlignment="1">
      <alignment horizontal="left" vertical="center"/>
    </xf>
    <xf numFmtId="4" fontId="69" fillId="0" borderId="0" xfId="0" applyNumberFormat="1" applyFont="1" applyAlignment="1">
      <alignment horizontal="center" vertical="center"/>
    </xf>
    <xf numFmtId="3" fontId="28" fillId="0" borderId="0" xfId="0" applyNumberFormat="1" applyFont="1" applyAlignment="1">
      <alignment horizontal="right" vertical="center"/>
    </xf>
    <xf numFmtId="0" fontId="43" fillId="25" borderId="41" xfId="0" applyFont="1" applyFill="1" applyBorder="1" applyAlignment="1">
      <alignment horizontal="justify" vertical="center" wrapText="1"/>
    </xf>
    <xf numFmtId="173" fontId="66" fillId="0" borderId="22" xfId="0" applyNumberFormat="1" applyFont="1" applyBorder="1" applyAlignment="1">
      <alignment vertical="center"/>
    </xf>
    <xf numFmtId="0" fontId="30" fillId="0" borderId="22" xfId="0" applyFont="1" applyBorder="1" applyAlignment="1">
      <alignment horizontal="justify" vertical="center" wrapText="1"/>
    </xf>
    <xf numFmtId="49" fontId="33" fillId="25" borderId="44" xfId="0" applyNumberFormat="1" applyFont="1" applyFill="1" applyBorder="1" applyAlignment="1">
      <alignment horizontal="center" vertical="center" wrapText="1"/>
    </xf>
    <xf numFmtId="0" fontId="33" fillId="25" borderId="44" xfId="0" applyFont="1" applyFill="1" applyBorder="1" applyAlignment="1">
      <alignment horizontal="center" vertical="center" wrapText="1"/>
    </xf>
    <xf numFmtId="49" fontId="33" fillId="25" borderId="12" xfId="0" applyNumberFormat="1" applyFont="1" applyFill="1" applyBorder="1" applyAlignment="1">
      <alignment horizontal="center" vertical="center" wrapText="1"/>
    </xf>
    <xf numFmtId="0" fontId="30" fillId="0" borderId="12" xfId="0" applyFont="1" applyBorder="1" applyAlignment="1">
      <alignment horizontal="center" vertical="center" wrapText="1"/>
    </xf>
    <xf numFmtId="0" fontId="28" fillId="0" borderId="21" xfId="0" applyFont="1" applyBorder="1" applyAlignment="1">
      <alignment horizontal="center" vertical="center"/>
    </xf>
    <xf numFmtId="0" fontId="30" fillId="0" borderId="12" xfId="0" applyFont="1" applyBorder="1" applyAlignment="1">
      <alignment horizontal="center" vertical="center"/>
    </xf>
    <xf numFmtId="0" fontId="35" fillId="0" borderId="12" xfId="0" applyFont="1" applyBorder="1" applyAlignment="1">
      <alignment horizontal="center" vertical="center" wrapText="1"/>
    </xf>
    <xf numFmtId="0" fontId="28" fillId="0" borderId="45" xfId="0" applyFont="1" applyBorder="1" applyAlignment="1">
      <alignment horizontal="center" vertical="center" wrapText="1"/>
    </xf>
    <xf numFmtId="0" fontId="28" fillId="0" borderId="46" xfId="0" applyFont="1" applyBorder="1" applyAlignment="1">
      <alignment horizontal="center" vertical="center" wrapText="1"/>
    </xf>
    <xf numFmtId="0" fontId="28" fillId="0" borderId="34" xfId="0" applyFont="1" applyBorder="1" applyAlignment="1">
      <alignment horizontal="center" vertical="center" wrapText="1"/>
    </xf>
    <xf numFmtId="0" fontId="28" fillId="0" borderId="32" xfId="0" applyFont="1" applyBorder="1" applyAlignment="1">
      <alignment horizontal="center" vertical="center" wrapText="1"/>
    </xf>
    <xf numFmtId="0" fontId="28" fillId="0" borderId="12" xfId="0" applyFont="1" applyBorder="1" applyAlignment="1">
      <alignment horizontal="left" vertical="center" wrapText="1"/>
    </xf>
    <xf numFmtId="0" fontId="30" fillId="0" borderId="43" xfId="0" applyFont="1" applyBorder="1" applyAlignment="1">
      <alignment vertical="center" wrapText="1"/>
    </xf>
    <xf numFmtId="3" fontId="28" fillId="0" borderId="47" xfId="0" applyNumberFormat="1" applyFont="1" applyBorder="1" applyAlignment="1">
      <alignment horizontal="right" vertical="center"/>
    </xf>
    <xf numFmtId="3" fontId="28" fillId="0" borderId="48" xfId="0" applyNumberFormat="1" applyFont="1" applyBorder="1" applyAlignment="1">
      <alignment horizontal="right" vertical="center"/>
    </xf>
    <xf numFmtId="3" fontId="28" fillId="0" borderId="49" xfId="0" applyNumberFormat="1" applyFont="1" applyBorder="1" applyAlignment="1">
      <alignment horizontal="right" vertical="center"/>
    </xf>
    <xf numFmtId="3" fontId="28" fillId="0" borderId="26" xfId="0" applyNumberFormat="1" applyFont="1" applyBorder="1" applyAlignment="1">
      <alignment horizontal="right" vertical="center" wrapText="1"/>
    </xf>
    <xf numFmtId="3" fontId="37" fillId="29" borderId="41" xfId="0" applyNumberFormat="1" applyFont="1" applyFill="1" applyBorder="1" applyAlignment="1">
      <alignment horizontal="right" vertical="center" wrapText="1"/>
    </xf>
    <xf numFmtId="3" fontId="37" fillId="29" borderId="50" xfId="0" applyNumberFormat="1" applyFont="1" applyFill="1" applyBorder="1" applyAlignment="1">
      <alignment horizontal="right" vertical="center" wrapText="1"/>
    </xf>
    <xf numFmtId="0" fontId="35" fillId="0" borderId="34" xfId="0" applyFont="1" applyBorder="1" applyAlignment="1">
      <alignment horizontal="center" vertical="center" wrapText="1"/>
    </xf>
    <xf numFmtId="0" fontId="35" fillId="0" borderId="11" xfId="0" applyFont="1" applyBorder="1" applyAlignment="1">
      <alignment horizontal="justify" vertical="center" wrapText="1"/>
    </xf>
    <xf numFmtId="0" fontId="35" fillId="0" borderId="11" xfId="0" applyFont="1" applyBorder="1" applyAlignment="1">
      <alignment horizontal="center" vertical="center" wrapText="1"/>
    </xf>
    <xf numFmtId="9" fontId="35" fillId="0" borderId="11" xfId="0" applyNumberFormat="1" applyFont="1" applyBorder="1" applyAlignment="1">
      <alignment horizontal="center" vertical="center" wrapText="1"/>
    </xf>
    <xf numFmtId="0" fontId="35" fillId="0" borderId="51" xfId="0" applyFont="1" applyBorder="1" applyAlignment="1">
      <alignment horizontal="center" vertical="center" wrapText="1"/>
    </xf>
    <xf numFmtId="0" fontId="35" fillId="0" borderId="22" xfId="0" applyFont="1" applyBorder="1" applyAlignment="1">
      <alignment horizontal="justify" vertical="center" wrapText="1"/>
    </xf>
    <xf numFmtId="0" fontId="35" fillId="0" borderId="22" xfId="0" applyFont="1" applyBorder="1" applyAlignment="1">
      <alignment horizontal="center" vertical="center" wrapText="1"/>
    </xf>
    <xf numFmtId="9" fontId="35" fillId="0" borderId="22" xfId="0" applyNumberFormat="1" applyFont="1" applyBorder="1" applyAlignment="1">
      <alignment horizontal="center" vertical="center" wrapText="1"/>
    </xf>
    <xf numFmtId="3" fontId="35" fillId="0" borderId="22" xfId="0" applyNumberFormat="1" applyFont="1" applyBorder="1" applyAlignment="1">
      <alignment vertical="center" wrapText="1"/>
    </xf>
    <xf numFmtId="165" fontId="35" fillId="0" borderId="22" xfId="261" applyNumberFormat="1" applyFont="1" applyBorder="1" applyAlignment="1">
      <alignment horizontal="right" vertical="center" wrapText="1"/>
    </xf>
    <xf numFmtId="0" fontId="37" fillId="24" borderId="33" xfId="0" applyFont="1" applyFill="1" applyBorder="1" applyAlignment="1">
      <alignment horizontal="center" vertical="center" wrapText="1"/>
    </xf>
    <xf numFmtId="9" fontId="37" fillId="24" borderId="33" xfId="0" applyNumberFormat="1" applyFont="1" applyFill="1" applyBorder="1" applyAlignment="1">
      <alignment horizontal="center" vertical="center" wrapText="1"/>
    </xf>
    <xf numFmtId="3" fontId="39" fillId="0" borderId="11" xfId="0" applyNumberFormat="1" applyFont="1" applyBorder="1" applyAlignment="1">
      <alignment vertical="center" wrapText="1"/>
    </xf>
    <xf numFmtId="49" fontId="39" fillId="0" borderId="11" xfId="0" applyNumberFormat="1" applyFont="1" applyBorder="1" applyAlignment="1">
      <alignment horizontal="center" vertical="center" wrapText="1"/>
    </xf>
    <xf numFmtId="0" fontId="37" fillId="0" borderId="11" xfId="0" applyFont="1" applyBorder="1" applyAlignment="1">
      <alignment vertical="center" wrapText="1"/>
    </xf>
    <xf numFmtId="0" fontId="37" fillId="0" borderId="11" xfId="0" applyFont="1" applyBorder="1" applyAlignment="1">
      <alignment horizontal="center" vertical="center" wrapText="1"/>
    </xf>
    <xf numFmtId="3" fontId="37" fillId="0" borderId="11" xfId="0" applyNumberFormat="1" applyFont="1" applyBorder="1" applyAlignment="1">
      <alignment horizontal="right" vertical="center" wrapText="1"/>
    </xf>
    <xf numFmtId="3" fontId="37" fillId="0" borderId="13" xfId="0" applyNumberFormat="1" applyFont="1" applyBorder="1" applyAlignment="1">
      <alignment horizontal="right" vertical="center" wrapText="1"/>
    </xf>
    <xf numFmtId="0" fontId="46" fillId="0" borderId="0" xfId="0" applyFont="1" applyAlignment="1">
      <alignment vertical="center" wrapText="1"/>
    </xf>
    <xf numFmtId="3" fontId="46" fillId="29" borderId="13" xfId="0" applyNumberFormat="1" applyFont="1" applyFill="1" applyBorder="1" applyAlignment="1">
      <alignment horizontal="right" vertical="center" wrapText="1"/>
    </xf>
    <xf numFmtId="0" fontId="37" fillId="29" borderId="11" xfId="0" applyFont="1" applyFill="1" applyBorder="1" applyAlignment="1">
      <alignment horizontal="center" vertical="center" wrapText="1"/>
    </xf>
    <xf numFmtId="0" fontId="37" fillId="29" borderId="14" xfId="0" applyFont="1" applyFill="1" applyBorder="1" applyAlignment="1">
      <alignment horizontal="center" vertical="center" wrapText="1"/>
    </xf>
    <xf numFmtId="3" fontId="37" fillId="29" borderId="12" xfId="0" applyNumberFormat="1" applyFont="1" applyFill="1" applyBorder="1" applyAlignment="1">
      <alignment horizontal="right" vertical="center" wrapText="1"/>
    </xf>
    <xf numFmtId="3" fontId="36" fillId="0" borderId="12" xfId="0" applyNumberFormat="1" applyFont="1" applyBorder="1" applyAlignment="1">
      <alignment horizontal="right" vertical="center" wrapText="1"/>
    </xf>
    <xf numFmtId="3" fontId="37" fillId="29" borderId="34" xfId="0" applyNumberFormat="1" applyFont="1" applyFill="1" applyBorder="1" applyAlignment="1">
      <alignment horizontal="right" vertical="center" wrapText="1"/>
    </xf>
    <xf numFmtId="0" fontId="28" fillId="0" borderId="11" xfId="410" applyFont="1" applyBorder="1"/>
    <xf numFmtId="0" fontId="28" fillId="0" borderId="11" xfId="410" applyFont="1" applyBorder="1" applyAlignment="1">
      <alignment horizontal="center"/>
    </xf>
    <xf numFmtId="0" fontId="28" fillId="0" borderId="11" xfId="409" applyFont="1" applyBorder="1" applyAlignment="1">
      <alignment horizontal="left" vertical="center" wrapText="1"/>
    </xf>
    <xf numFmtId="0" fontId="28" fillId="0" borderId="11" xfId="409" applyFont="1" applyBorder="1" applyAlignment="1">
      <alignment horizontal="center" vertical="center" wrapText="1"/>
    </xf>
    <xf numFmtId="0" fontId="28" fillId="0" borderId="11" xfId="409" applyFont="1" applyBorder="1" applyAlignment="1">
      <alignment horizontal="justify" vertical="center" wrapText="1"/>
    </xf>
    <xf numFmtId="0" fontId="70" fillId="0" borderId="0" xfId="0" applyFont="1" applyAlignment="1">
      <alignment vertical="center" wrapText="1"/>
    </xf>
    <xf numFmtId="0" fontId="36" fillId="31" borderId="0" xfId="0" applyFont="1" applyFill="1" applyAlignment="1">
      <alignment vertical="center" wrapText="1"/>
    </xf>
    <xf numFmtId="0" fontId="71" fillId="0" borderId="0" xfId="0" applyFont="1" applyAlignment="1">
      <alignment vertical="center" wrapText="1"/>
    </xf>
    <xf numFmtId="0" fontId="38" fillId="0" borderId="11" xfId="0" applyFont="1" applyBorder="1" applyAlignment="1">
      <alignment horizontal="center" vertical="center" wrapText="1"/>
    </xf>
    <xf numFmtId="49" fontId="38" fillId="0" borderId="11" xfId="0" applyNumberFormat="1" applyFont="1" applyBorder="1" applyAlignment="1">
      <alignment horizontal="center" vertical="center" wrapText="1"/>
    </xf>
    <xf numFmtId="3" fontId="38" fillId="0" borderId="11" xfId="0" applyNumberFormat="1" applyFont="1" applyBorder="1" applyAlignment="1">
      <alignment horizontal="right" vertical="center" wrapText="1"/>
    </xf>
    <xf numFmtId="3" fontId="38" fillId="0" borderId="13" xfId="0" applyNumberFormat="1" applyFont="1" applyBorder="1" applyAlignment="1">
      <alignment horizontal="right" vertical="center" wrapText="1"/>
    </xf>
    <xf numFmtId="0" fontId="38" fillId="0" borderId="11" xfId="0" applyFont="1" applyBorder="1" applyAlignment="1">
      <alignment vertical="center" wrapText="1"/>
    </xf>
    <xf numFmtId="0" fontId="38" fillId="0" borderId="12" xfId="0" applyFont="1" applyBorder="1" applyAlignment="1">
      <alignment horizontal="center" vertical="center" wrapText="1"/>
    </xf>
    <xf numFmtId="3" fontId="36" fillId="0" borderId="38" xfId="0" applyNumberFormat="1" applyFont="1" applyBorder="1" applyAlignment="1">
      <alignment horizontal="right" vertical="center" wrapText="1"/>
    </xf>
    <xf numFmtId="0" fontId="38" fillId="0" borderId="22" xfId="0" applyFont="1" applyBorder="1" applyAlignment="1">
      <alignment vertical="center" wrapText="1"/>
    </xf>
    <xf numFmtId="0" fontId="38" fillId="0" borderId="22" xfId="0" applyFont="1" applyBorder="1" applyAlignment="1">
      <alignment horizontal="center" vertical="center" wrapText="1"/>
    </xf>
    <xf numFmtId="3" fontId="38" fillId="0" borderId="22" xfId="0" applyNumberFormat="1" applyFont="1" applyBorder="1" applyAlignment="1">
      <alignment horizontal="right" vertical="center" wrapText="1"/>
    </xf>
    <xf numFmtId="3" fontId="38" fillId="0" borderId="20" xfId="0" applyNumberFormat="1" applyFont="1" applyBorder="1" applyAlignment="1">
      <alignment horizontal="right" vertical="center" wrapText="1"/>
    </xf>
    <xf numFmtId="3" fontId="38" fillId="0" borderId="21" xfId="0" applyNumberFormat="1" applyFont="1" applyBorder="1" applyAlignment="1">
      <alignment horizontal="right" vertical="center" wrapText="1"/>
    </xf>
    <xf numFmtId="3" fontId="38" fillId="0" borderId="12" xfId="0" applyNumberFormat="1" applyFont="1" applyBorder="1" applyAlignment="1">
      <alignment horizontal="right" vertical="center" wrapText="1"/>
    </xf>
    <xf numFmtId="0" fontId="37" fillId="29" borderId="38" xfId="0" applyFont="1" applyFill="1" applyBorder="1" applyAlignment="1">
      <alignment horizontal="left" vertical="center" wrapText="1"/>
    </xf>
    <xf numFmtId="0" fontId="37" fillId="29" borderId="38" xfId="0" applyFont="1" applyFill="1" applyBorder="1" applyAlignment="1">
      <alignment horizontal="center" vertical="center" wrapText="1"/>
    </xf>
    <xf numFmtId="3" fontId="37" fillId="29" borderId="31" xfId="0" applyNumberFormat="1" applyFont="1" applyFill="1" applyBorder="1" applyAlignment="1">
      <alignment horizontal="center" vertical="center" wrapText="1"/>
    </xf>
    <xf numFmtId="3" fontId="39" fillId="0" borderId="12" xfId="0" applyNumberFormat="1" applyFont="1" applyBorder="1" applyAlignment="1">
      <alignment horizontal="right" vertical="center" wrapText="1"/>
    </xf>
    <xf numFmtId="3" fontId="38" fillId="0" borderId="11" xfId="0" applyNumberFormat="1" applyFont="1" applyBorder="1" applyAlignment="1">
      <alignment vertical="center" wrapText="1"/>
    </xf>
    <xf numFmtId="3" fontId="38" fillId="0" borderId="13" xfId="0" applyNumberFormat="1" applyFont="1" applyBorder="1" applyAlignment="1">
      <alignment vertical="center" wrapText="1"/>
    </xf>
    <xf numFmtId="3" fontId="37" fillId="0" borderId="11" xfId="0" applyNumberFormat="1" applyFont="1" applyBorder="1" applyAlignment="1">
      <alignment vertical="center" wrapText="1"/>
    </xf>
    <xf numFmtId="3" fontId="37" fillId="0" borderId="13" xfId="0" applyNumberFormat="1" applyFont="1" applyBorder="1" applyAlignment="1">
      <alignment vertical="center" wrapText="1"/>
    </xf>
    <xf numFmtId="3" fontId="37" fillId="29" borderId="38" xfId="0" applyNumberFormat="1" applyFont="1" applyFill="1" applyBorder="1" applyAlignment="1">
      <alignment horizontal="right" vertical="center" wrapText="1"/>
    </xf>
    <xf numFmtId="3" fontId="37" fillId="29" borderId="31" xfId="0" applyNumberFormat="1" applyFont="1" applyFill="1" applyBorder="1" applyAlignment="1">
      <alignment horizontal="right" vertical="center" wrapText="1"/>
    </xf>
    <xf numFmtId="3" fontId="37" fillId="29" borderId="52" xfId="0" applyNumberFormat="1" applyFont="1" applyFill="1" applyBorder="1" applyAlignment="1">
      <alignment horizontal="right" vertical="center" wrapText="1"/>
    </xf>
    <xf numFmtId="0" fontId="36" fillId="0" borderId="11" xfId="0" applyFont="1" applyBorder="1" applyAlignment="1">
      <alignment horizontal="left" vertical="center" wrapText="1"/>
    </xf>
    <xf numFmtId="0" fontId="37" fillId="29" borderId="41" xfId="0" applyFont="1" applyFill="1" applyBorder="1" applyAlignment="1">
      <alignment horizontal="center" vertical="center" wrapText="1"/>
    </xf>
    <xf numFmtId="0" fontId="37" fillId="29" borderId="41" xfId="0" applyFont="1" applyFill="1" applyBorder="1" applyAlignment="1">
      <alignment vertical="center" wrapText="1"/>
    </xf>
    <xf numFmtId="0" fontId="35" fillId="25" borderId="11" xfId="0" applyFont="1" applyFill="1" applyBorder="1" applyAlignment="1">
      <alignment horizontal="left" vertical="center" wrapText="1"/>
    </xf>
    <xf numFmtId="0" fontId="35" fillId="25" borderId="50" xfId="0" applyFont="1" applyFill="1" applyBorder="1" applyAlignment="1">
      <alignment horizontal="justify" vertical="center" wrapText="1"/>
    </xf>
    <xf numFmtId="0" fontId="37" fillId="29" borderId="33" xfId="0" applyFont="1" applyFill="1" applyBorder="1" applyAlignment="1">
      <alignment horizontal="center" vertical="center" wrapText="1"/>
    </xf>
    <xf numFmtId="0" fontId="37" fillId="29" borderId="53" xfId="0" applyFont="1" applyFill="1" applyBorder="1" applyAlignment="1">
      <alignment horizontal="center" vertical="center" wrapText="1"/>
    </xf>
    <xf numFmtId="3" fontId="37" fillId="29" borderId="53" xfId="0" applyNumberFormat="1" applyFont="1" applyFill="1" applyBorder="1" applyAlignment="1">
      <alignment horizontal="center" vertical="center" wrapText="1"/>
    </xf>
    <xf numFmtId="0" fontId="37" fillId="29" borderId="33" xfId="0" applyFont="1" applyFill="1" applyBorder="1" applyAlignment="1">
      <alignment horizontal="left" vertical="center" wrapText="1"/>
    </xf>
    <xf numFmtId="3" fontId="36" fillId="0" borderId="25" xfId="0" applyNumberFormat="1" applyFont="1" applyBorder="1" applyAlignment="1">
      <alignment vertical="center" wrapText="1"/>
    </xf>
    <xf numFmtId="3" fontId="36" fillId="0" borderId="26" xfId="0" applyNumberFormat="1" applyFont="1" applyBorder="1" applyAlignment="1">
      <alignment vertical="center" wrapText="1"/>
    </xf>
    <xf numFmtId="3" fontId="37" fillId="29" borderId="33" xfId="0" applyNumberFormat="1" applyFont="1" applyFill="1" applyBorder="1" applyAlignment="1">
      <alignment horizontal="center" vertical="center" wrapText="1"/>
    </xf>
    <xf numFmtId="3" fontId="37" fillId="29" borderId="38" xfId="0" applyNumberFormat="1" applyFont="1" applyFill="1" applyBorder="1" applyAlignment="1">
      <alignment horizontal="center" vertical="center" wrapText="1"/>
    </xf>
    <xf numFmtId="177" fontId="67" fillId="24" borderId="33" xfId="0" applyNumberFormat="1" applyFont="1" applyFill="1" applyBorder="1" applyAlignment="1">
      <alignment horizontal="center" vertical="center" wrapText="1"/>
    </xf>
    <xf numFmtId="3" fontId="30" fillId="30" borderId="33" xfId="0" applyNumberFormat="1" applyFont="1" applyFill="1" applyBorder="1" applyAlignment="1">
      <alignment horizontal="center" vertical="center" wrapText="1"/>
    </xf>
    <xf numFmtId="3" fontId="30" fillId="30" borderId="53" xfId="0" applyNumberFormat="1" applyFont="1" applyFill="1" applyBorder="1" applyAlignment="1">
      <alignment horizontal="center" vertical="center" wrapText="1"/>
    </xf>
    <xf numFmtId="0" fontId="32" fillId="32" borderId="38" xfId="0" applyFont="1" applyFill="1" applyBorder="1" applyAlignment="1">
      <alignment horizontal="center"/>
    </xf>
    <xf numFmtId="0" fontId="44" fillId="0" borderId="0" xfId="384" applyFont="1"/>
    <xf numFmtId="0" fontId="51" fillId="0" borderId="30" xfId="384" applyFont="1" applyBorder="1" applyAlignment="1">
      <alignment horizontal="center" vertical="center" wrapText="1"/>
    </xf>
    <xf numFmtId="0" fontId="51" fillId="0" borderId="23" xfId="384" applyFont="1" applyBorder="1" applyAlignment="1">
      <alignment horizontal="center" vertical="center" wrapText="1"/>
    </xf>
    <xf numFmtId="0" fontId="44" fillId="0" borderId="23" xfId="384" applyFont="1" applyBorder="1" applyAlignment="1">
      <alignment horizontal="center" vertical="center" wrapText="1"/>
    </xf>
    <xf numFmtId="0" fontId="44" fillId="0" borderId="54" xfId="384" applyFont="1" applyBorder="1" applyAlignment="1">
      <alignment horizontal="center" vertical="center" wrapText="1"/>
    </xf>
    <xf numFmtId="0" fontId="44" fillId="0" borderId="0" xfId="384" applyFont="1" applyAlignment="1">
      <alignment horizontal="center" vertical="center" wrapText="1"/>
    </xf>
    <xf numFmtId="0" fontId="44" fillId="0" borderId="0" xfId="384" applyFont="1" applyAlignment="1">
      <alignment vertical="center" wrapText="1"/>
    </xf>
    <xf numFmtId="0" fontId="44" fillId="0" borderId="0" xfId="384" applyFont="1" applyAlignment="1">
      <alignment horizontal="center" vertical="center"/>
    </xf>
    <xf numFmtId="3" fontId="44" fillId="0" borderId="0" xfId="384" applyNumberFormat="1" applyFont="1" applyAlignment="1">
      <alignment horizontal="right" vertical="center"/>
    </xf>
    <xf numFmtId="4" fontId="44" fillId="0" borderId="0" xfId="384" applyNumberFormat="1" applyFont="1" applyAlignment="1">
      <alignment horizontal="right" vertical="center"/>
    </xf>
    <xf numFmtId="2" fontId="44" fillId="0" borderId="0" xfId="384" applyNumberFormat="1" applyFont="1" applyAlignment="1">
      <alignment horizontal="right" vertical="center"/>
    </xf>
    <xf numFmtId="3" fontId="52" fillId="0" borderId="0" xfId="384" applyNumberFormat="1" applyFont="1" applyAlignment="1">
      <alignment horizontal="center" vertical="center"/>
    </xf>
    <xf numFmtId="4" fontId="44" fillId="0" borderId="0" xfId="384" applyNumberFormat="1" applyFont="1" applyAlignment="1">
      <alignment horizontal="center" vertical="center"/>
    </xf>
    <xf numFmtId="0" fontId="45" fillId="0" borderId="0" xfId="384" applyFont="1" applyAlignment="1">
      <alignment horizontal="left" vertical="center"/>
    </xf>
    <xf numFmtId="0" fontId="45" fillId="0" borderId="0" xfId="384" applyFont="1" applyAlignment="1">
      <alignment vertical="center"/>
    </xf>
    <xf numFmtId="0" fontId="44" fillId="33" borderId="23" xfId="384" applyFont="1" applyFill="1" applyBorder="1" applyAlignment="1">
      <alignment horizontal="center" vertical="center" wrapText="1"/>
    </xf>
    <xf numFmtId="4" fontId="44" fillId="33" borderId="0" xfId="384" applyNumberFormat="1" applyFont="1" applyFill="1" applyAlignment="1">
      <alignment horizontal="right" vertical="center"/>
    </xf>
    <xf numFmtId="0" fontId="44" fillId="33" borderId="0" xfId="384" applyFont="1" applyFill="1"/>
    <xf numFmtId="0" fontId="51" fillId="33" borderId="23" xfId="384" applyFont="1" applyFill="1" applyBorder="1" applyAlignment="1">
      <alignment horizontal="center" vertical="center" wrapText="1"/>
    </xf>
    <xf numFmtId="0" fontId="44" fillId="33" borderId="28" xfId="384" applyFont="1" applyFill="1" applyBorder="1" applyAlignment="1">
      <alignment horizontal="center" vertical="center" wrapText="1"/>
    </xf>
    <xf numFmtId="0" fontId="44" fillId="0" borderId="55" xfId="384" applyFont="1" applyBorder="1" applyAlignment="1">
      <alignment horizontal="center" vertical="center"/>
    </xf>
    <xf numFmtId="3" fontId="44" fillId="0" borderId="55" xfId="384" applyNumberFormat="1" applyFont="1" applyBorder="1" applyAlignment="1">
      <alignment horizontal="right" vertical="center"/>
    </xf>
    <xf numFmtId="3" fontId="44" fillId="33" borderId="55" xfId="384" applyNumberFormat="1" applyFont="1" applyFill="1" applyBorder="1" applyAlignment="1">
      <alignment horizontal="right" vertical="center"/>
    </xf>
    <xf numFmtId="2" fontId="44" fillId="0" borderId="55" xfId="384" applyNumberFormat="1" applyFont="1" applyBorder="1" applyAlignment="1">
      <alignment horizontal="right" vertical="center"/>
    </xf>
    <xf numFmtId="3" fontId="44" fillId="0" borderId="55" xfId="384" applyNumberFormat="1" applyFont="1" applyBorder="1" applyAlignment="1">
      <alignment horizontal="center" vertical="center"/>
    </xf>
    <xf numFmtId="166" fontId="44" fillId="0" borderId="56" xfId="384" applyNumberFormat="1" applyFont="1" applyBorder="1" applyAlignment="1">
      <alignment horizontal="center" vertical="center"/>
    </xf>
    <xf numFmtId="0" fontId="44" fillId="0" borderId="11" xfId="384" applyFont="1" applyBorder="1" applyAlignment="1">
      <alignment horizontal="center" vertical="center"/>
    </xf>
    <xf numFmtId="3" fontId="44" fillId="0" borderId="11" xfId="384" applyNumberFormat="1" applyFont="1" applyBorder="1" applyAlignment="1">
      <alignment horizontal="right" vertical="center"/>
    </xf>
    <xf numFmtId="3" fontId="44" fillId="33" borderId="11" xfId="384" applyNumberFormat="1" applyFont="1" applyFill="1" applyBorder="1" applyAlignment="1">
      <alignment horizontal="right" vertical="center"/>
    </xf>
    <xf numFmtId="2" fontId="44" fillId="0" borderId="11" xfId="384" applyNumberFormat="1" applyFont="1" applyBorder="1" applyAlignment="1">
      <alignment horizontal="right" vertical="center"/>
    </xf>
    <xf numFmtId="3" fontId="44" fillId="0" borderId="11" xfId="384" applyNumberFormat="1" applyFont="1" applyBorder="1" applyAlignment="1">
      <alignment horizontal="center" vertical="center"/>
    </xf>
    <xf numFmtId="166" fontId="44" fillId="0" borderId="13" xfId="384" applyNumberFormat="1" applyFont="1" applyBorder="1" applyAlignment="1">
      <alignment horizontal="center" vertical="center"/>
    </xf>
    <xf numFmtId="2" fontId="44" fillId="0" borderId="13" xfId="384" applyNumberFormat="1" applyFont="1" applyBorder="1" applyAlignment="1">
      <alignment horizontal="center" vertical="center"/>
    </xf>
    <xf numFmtId="4" fontId="44" fillId="0" borderId="11" xfId="384" applyNumberFormat="1" applyFont="1" applyBorder="1" applyAlignment="1">
      <alignment horizontal="right" vertical="center"/>
    </xf>
    <xf numFmtId="4" fontId="44" fillId="0" borderId="13" xfId="384" applyNumberFormat="1" applyFont="1" applyBorder="1" applyAlignment="1">
      <alignment horizontal="center" vertical="center"/>
    </xf>
    <xf numFmtId="0" fontId="44" fillId="0" borderId="25" xfId="384" applyFont="1" applyBorder="1" applyAlignment="1">
      <alignment horizontal="center" vertical="center"/>
    </xf>
    <xf numFmtId="3" fontId="44" fillId="0" borderId="25" xfId="384" applyNumberFormat="1" applyFont="1" applyBorder="1" applyAlignment="1">
      <alignment horizontal="right" vertical="center"/>
    </xf>
    <xf numFmtId="3" fontId="44" fillId="33" borderId="25" xfId="384" applyNumberFormat="1" applyFont="1" applyFill="1" applyBorder="1" applyAlignment="1">
      <alignment horizontal="right" vertical="center"/>
    </xf>
    <xf numFmtId="2" fontId="44" fillId="0" borderId="25" xfId="384" applyNumberFormat="1" applyFont="1" applyBorder="1" applyAlignment="1">
      <alignment horizontal="right" vertical="center"/>
    </xf>
    <xf numFmtId="4" fontId="44" fillId="0" borderId="25" xfId="384" applyNumberFormat="1" applyFont="1" applyBorder="1" applyAlignment="1">
      <alignment horizontal="right" vertical="center"/>
    </xf>
    <xf numFmtId="3" fontId="44" fillId="0" borderId="25" xfId="384" applyNumberFormat="1" applyFont="1" applyBorder="1" applyAlignment="1">
      <alignment horizontal="center" vertical="center"/>
    </xf>
    <xf numFmtId="4" fontId="44" fillId="0" borderId="26" xfId="384" applyNumberFormat="1" applyFont="1" applyBorder="1" applyAlignment="1">
      <alignment horizontal="center" vertical="center"/>
    </xf>
    <xf numFmtId="0" fontId="44" fillId="0" borderId="14" xfId="384" applyFont="1" applyBorder="1" applyAlignment="1">
      <alignment horizontal="center" vertical="center"/>
    </xf>
    <xf numFmtId="3" fontId="44" fillId="33" borderId="14" xfId="384" applyNumberFormat="1" applyFont="1" applyFill="1" applyBorder="1" applyAlignment="1">
      <alignment horizontal="right" vertical="center"/>
    </xf>
    <xf numFmtId="2" fontId="44" fillId="0" borderId="14" xfId="384" applyNumberFormat="1" applyFont="1" applyBorder="1" applyAlignment="1">
      <alignment horizontal="right" vertical="center"/>
    </xf>
    <xf numFmtId="0" fontId="44" fillId="0" borderId="22" xfId="384" applyFont="1" applyBorder="1" applyAlignment="1">
      <alignment horizontal="center" vertical="center"/>
    </xf>
    <xf numFmtId="3" fontId="44" fillId="0" borderId="22" xfId="384" applyNumberFormat="1" applyFont="1" applyBorder="1" applyAlignment="1">
      <alignment horizontal="right" vertical="center"/>
    </xf>
    <xf numFmtId="3" fontId="44" fillId="33" borderId="22" xfId="384" applyNumberFormat="1" applyFont="1" applyFill="1" applyBorder="1" applyAlignment="1">
      <alignment horizontal="right" vertical="center"/>
    </xf>
    <xf numFmtId="2" fontId="44" fillId="0" borderId="22" xfId="384" applyNumberFormat="1" applyFont="1" applyBorder="1" applyAlignment="1">
      <alignment horizontal="right" vertical="center"/>
    </xf>
    <xf numFmtId="3" fontId="44" fillId="0" borderId="22" xfId="384" applyNumberFormat="1" applyFont="1" applyBorder="1" applyAlignment="1">
      <alignment horizontal="center" vertical="center"/>
    </xf>
    <xf numFmtId="166" fontId="44" fillId="0" borderId="20" xfId="384" applyNumberFormat="1" applyFont="1" applyBorder="1" applyAlignment="1">
      <alignment horizontal="center" vertical="center"/>
    </xf>
    <xf numFmtId="3" fontId="44" fillId="0" borderId="14" xfId="384" applyNumberFormat="1" applyFont="1" applyBorder="1" applyAlignment="1">
      <alignment horizontal="right" vertical="center"/>
    </xf>
    <xf numFmtId="4" fontId="44" fillId="0" borderId="14" xfId="384" applyNumberFormat="1" applyFont="1" applyBorder="1" applyAlignment="1">
      <alignment horizontal="right" vertical="center"/>
    </xf>
    <xf numFmtId="3" fontId="44" fillId="0" borderId="14" xfId="384" applyNumberFormat="1" applyFont="1" applyBorder="1" applyAlignment="1">
      <alignment horizontal="center" vertical="center"/>
    </xf>
    <xf numFmtId="0" fontId="44" fillId="0" borderId="41" xfId="384" applyFont="1" applyBorder="1" applyAlignment="1">
      <alignment horizontal="center" vertical="center"/>
    </xf>
    <xf numFmtId="0" fontId="44" fillId="0" borderId="41" xfId="384" applyFont="1" applyBorder="1" applyAlignment="1">
      <alignment horizontal="right" vertical="center"/>
    </xf>
    <xf numFmtId="3" fontId="44" fillId="33" borderId="41" xfId="384" applyNumberFormat="1" applyFont="1" applyFill="1" applyBorder="1" applyAlignment="1">
      <alignment horizontal="right" vertical="center"/>
    </xf>
    <xf numFmtId="2" fontId="44" fillId="0" borderId="41" xfId="384" applyNumberFormat="1" applyFont="1" applyBorder="1" applyAlignment="1">
      <alignment horizontal="right" vertical="center"/>
    </xf>
    <xf numFmtId="0" fontId="44" fillId="33" borderId="41" xfId="384" applyFont="1" applyFill="1" applyBorder="1" applyAlignment="1">
      <alignment horizontal="right" vertical="center"/>
    </xf>
    <xf numFmtId="0" fontId="44" fillId="0" borderId="41" xfId="384" applyFont="1" applyBorder="1" applyAlignment="1">
      <alignment vertical="center"/>
    </xf>
    <xf numFmtId="0" fontId="44" fillId="0" borderId="50" xfId="384" applyFont="1" applyBorder="1" applyAlignment="1">
      <alignment horizontal="center" vertical="center"/>
    </xf>
    <xf numFmtId="2" fontId="44" fillId="0" borderId="20" xfId="384" applyNumberFormat="1" applyFont="1" applyBorder="1" applyAlignment="1">
      <alignment horizontal="center" vertical="center"/>
    </xf>
    <xf numFmtId="3" fontId="44" fillId="0" borderId="41" xfId="384" applyNumberFormat="1" applyFont="1" applyBorder="1" applyAlignment="1">
      <alignment horizontal="right" vertical="center"/>
    </xf>
    <xf numFmtId="4" fontId="44" fillId="0" borderId="41" xfId="384" applyNumberFormat="1" applyFont="1" applyBorder="1" applyAlignment="1">
      <alignment horizontal="right" vertical="center"/>
    </xf>
    <xf numFmtId="3" fontId="44" fillId="0" borderId="41" xfId="384" applyNumberFormat="1" applyFont="1" applyBorder="1" applyAlignment="1">
      <alignment horizontal="center" vertical="center"/>
    </xf>
    <xf numFmtId="2" fontId="44" fillId="0" borderId="50" xfId="384" applyNumberFormat="1" applyFont="1" applyBorder="1" applyAlignment="1">
      <alignment horizontal="center" vertical="center"/>
    </xf>
    <xf numFmtId="4" fontId="44" fillId="0" borderId="22" xfId="384" applyNumberFormat="1" applyFont="1" applyBorder="1" applyAlignment="1">
      <alignment horizontal="right" vertical="center"/>
    </xf>
    <xf numFmtId="3" fontId="52" fillId="0" borderId="22" xfId="384" applyNumberFormat="1" applyFont="1" applyBorder="1" applyAlignment="1">
      <alignment horizontal="center" vertical="center"/>
    </xf>
    <xf numFmtId="4" fontId="44" fillId="0" borderId="24" xfId="384" applyNumberFormat="1" applyFont="1" applyBorder="1" applyAlignment="1">
      <alignment horizontal="center" vertical="center"/>
    </xf>
    <xf numFmtId="4" fontId="44" fillId="0" borderId="50" xfId="384" applyNumberFormat="1" applyFont="1" applyBorder="1" applyAlignment="1">
      <alignment horizontal="center" vertical="center"/>
    </xf>
    <xf numFmtId="4" fontId="44" fillId="0" borderId="20" xfId="384" applyNumberFormat="1" applyFont="1" applyBorder="1" applyAlignment="1">
      <alignment horizontal="center" vertical="center"/>
    </xf>
    <xf numFmtId="3" fontId="44" fillId="31" borderId="22" xfId="384" applyNumberFormat="1" applyFont="1" applyFill="1" applyBorder="1" applyAlignment="1">
      <alignment horizontal="right" vertical="center"/>
    </xf>
    <xf numFmtId="3" fontId="28" fillId="0" borderId="47" xfId="0" applyNumberFormat="1" applyFont="1" applyBorder="1" applyAlignment="1">
      <alignment vertical="center"/>
    </xf>
    <xf numFmtId="49" fontId="33" fillId="29" borderId="44" xfId="0" applyNumberFormat="1" applyFont="1" applyFill="1" applyBorder="1" applyAlignment="1">
      <alignment horizontal="center" vertical="center" wrapText="1"/>
    </xf>
    <xf numFmtId="3" fontId="28" fillId="29" borderId="41" xfId="0" applyNumberFormat="1" applyFont="1" applyFill="1" applyBorder="1" applyAlignment="1">
      <alignment vertical="center"/>
    </xf>
    <xf numFmtId="0" fontId="72" fillId="29" borderId="50" xfId="0" applyFont="1" applyFill="1" applyBorder="1" applyAlignment="1">
      <alignment horizontal="left" vertical="center" wrapText="1"/>
    </xf>
    <xf numFmtId="3" fontId="30" fillId="29" borderId="11" xfId="0" applyNumberFormat="1" applyFont="1" applyFill="1" applyBorder="1" applyAlignment="1">
      <alignment horizontal="right" vertical="center"/>
    </xf>
    <xf numFmtId="3" fontId="35" fillId="29" borderId="13" xfId="0" applyNumberFormat="1" applyFont="1" applyFill="1" applyBorder="1" applyAlignment="1">
      <alignment horizontal="right" vertical="center"/>
    </xf>
    <xf numFmtId="0" fontId="33" fillId="29" borderId="34" xfId="0" applyFont="1" applyFill="1" applyBorder="1" applyAlignment="1">
      <alignment horizontal="center" vertical="center" wrapText="1"/>
    </xf>
    <xf numFmtId="0" fontId="30" fillId="0" borderId="14" xfId="0" applyFont="1" applyBorder="1" applyAlignment="1">
      <alignment vertical="center"/>
    </xf>
    <xf numFmtId="165" fontId="28" fillId="0" borderId="14" xfId="261" applyNumberFormat="1" applyFont="1" applyBorder="1" applyAlignment="1">
      <alignment vertical="center"/>
    </xf>
    <xf numFmtId="3" fontId="28" fillId="0" borderId="24" xfId="0" applyNumberFormat="1" applyFont="1" applyBorder="1" applyAlignment="1">
      <alignment vertical="center"/>
    </xf>
    <xf numFmtId="0" fontId="30" fillId="0" borderId="51" xfId="0" applyFont="1" applyBorder="1" applyAlignment="1">
      <alignment horizontal="center" vertical="center"/>
    </xf>
    <xf numFmtId="0" fontId="30" fillId="0" borderId="33" xfId="0" applyFont="1" applyBorder="1" applyAlignment="1">
      <alignment horizontal="left" vertical="center" wrapText="1"/>
    </xf>
    <xf numFmtId="0" fontId="30" fillId="0" borderId="33" xfId="0" applyFont="1" applyBorder="1" applyAlignment="1">
      <alignment horizontal="center" vertical="center" wrapText="1"/>
    </xf>
    <xf numFmtId="9" fontId="30" fillId="0" borderId="33" xfId="0" applyNumberFormat="1" applyFont="1" applyBorder="1" applyAlignment="1">
      <alignment horizontal="center" vertical="center" wrapText="1"/>
    </xf>
    <xf numFmtId="3" fontId="30" fillId="0" borderId="33" xfId="0" applyNumberFormat="1" applyFont="1" applyBorder="1" applyAlignment="1">
      <alignment vertical="center"/>
    </xf>
    <xf numFmtId="165" fontId="30" fillId="0" borderId="33" xfId="261" applyNumberFormat="1" applyFont="1" applyBorder="1" applyAlignment="1">
      <alignment horizontal="right" vertical="center"/>
    </xf>
    <xf numFmtId="172" fontId="30" fillId="0" borderId="33" xfId="0" applyNumberFormat="1" applyFont="1" applyBorder="1" applyAlignment="1">
      <alignment vertical="center"/>
    </xf>
    <xf numFmtId="3" fontId="30" fillId="0" borderId="53" xfId="0" applyNumberFormat="1" applyFont="1" applyBorder="1" applyAlignment="1">
      <alignment vertical="center"/>
    </xf>
    <xf numFmtId="0" fontId="35" fillId="0" borderId="21" xfId="0" applyFont="1" applyBorder="1" applyAlignment="1">
      <alignment horizontal="center" vertical="center"/>
    </xf>
    <xf numFmtId="0" fontId="35" fillId="0" borderId="22" xfId="0" applyFont="1" applyBorder="1" applyAlignment="1">
      <alignment horizontal="left" vertical="center" wrapText="1"/>
    </xf>
    <xf numFmtId="3" fontId="35" fillId="0" borderId="22" xfId="0" applyNumberFormat="1" applyFont="1" applyBorder="1" applyAlignment="1">
      <alignment vertical="center"/>
    </xf>
    <xf numFmtId="165" fontId="35" fillId="0" borderId="22" xfId="261" applyNumberFormat="1" applyFont="1" applyBorder="1" applyAlignment="1">
      <alignment horizontal="right" vertical="center"/>
    </xf>
    <xf numFmtId="3" fontId="35" fillId="0" borderId="22" xfId="0" applyNumberFormat="1" applyFont="1" applyBorder="1" applyAlignment="1">
      <alignment horizontal="right" vertical="center"/>
    </xf>
    <xf numFmtId="3" fontId="35" fillId="0" borderId="20" xfId="0" applyNumberFormat="1" applyFont="1" applyBorder="1" applyAlignment="1">
      <alignment horizontal="right" vertical="center"/>
    </xf>
    <xf numFmtId="0" fontId="33" fillId="29" borderId="57" xfId="0" applyFont="1" applyFill="1" applyBorder="1" applyAlignment="1">
      <alignment horizontal="left" vertical="center" wrapText="1"/>
    </xf>
    <xf numFmtId="3" fontId="28" fillId="0" borderId="14" xfId="0" applyNumberFormat="1" applyFont="1" applyBorder="1" applyAlignment="1">
      <alignment vertical="center"/>
    </xf>
    <xf numFmtId="3" fontId="30" fillId="0" borderId="38" xfId="0" applyNumberFormat="1" applyFont="1" applyBorder="1" applyAlignment="1">
      <alignment vertical="center"/>
    </xf>
    <xf numFmtId="0" fontId="30" fillId="0" borderId="38" xfId="0" applyFont="1" applyBorder="1" applyAlignment="1">
      <alignment vertical="center"/>
    </xf>
    <xf numFmtId="0" fontId="30" fillId="0" borderId="31" xfId="0" applyFont="1" applyBorder="1" applyAlignment="1">
      <alignment vertical="center"/>
    </xf>
    <xf numFmtId="3" fontId="28" fillId="0" borderId="41" xfId="0" applyNumberFormat="1" applyFont="1" applyBorder="1" applyAlignment="1">
      <alignment vertical="center"/>
    </xf>
    <xf numFmtId="0" fontId="28" fillId="0" borderId="50" xfId="0" applyFont="1" applyBorder="1" applyAlignment="1">
      <alignment vertical="center"/>
    </xf>
    <xf numFmtId="0" fontId="28" fillId="0" borderId="45" xfId="0" applyFont="1" applyBorder="1" applyAlignment="1">
      <alignment horizontal="center" vertical="center"/>
    </xf>
    <xf numFmtId="0" fontId="28" fillId="0" borderId="47" xfId="0" applyFont="1" applyBorder="1" applyAlignment="1">
      <alignment horizontal="left" vertical="center" wrapText="1"/>
    </xf>
    <xf numFmtId="0" fontId="28" fillId="0" borderId="47" xfId="0" applyFont="1" applyBorder="1" applyAlignment="1">
      <alignment horizontal="center" vertical="center" wrapText="1"/>
    </xf>
    <xf numFmtId="165" fontId="28" fillId="0" borderId="47" xfId="261" applyNumberFormat="1" applyFont="1" applyBorder="1" applyAlignment="1">
      <alignment horizontal="right" vertical="center"/>
    </xf>
    <xf numFmtId="3" fontId="28" fillId="0" borderId="36" xfId="0" applyNumberFormat="1" applyFont="1" applyBorder="1" applyAlignment="1">
      <alignment vertical="center"/>
    </xf>
    <xf numFmtId="0" fontId="30" fillId="0" borderId="29" xfId="0" applyFont="1" applyBorder="1" applyAlignment="1">
      <alignment horizontal="center" vertical="center"/>
    </xf>
    <xf numFmtId="0" fontId="30" fillId="0" borderId="38" xfId="0" applyFont="1" applyBorder="1" applyAlignment="1">
      <alignment horizontal="center" vertical="center" wrapText="1"/>
    </xf>
    <xf numFmtId="9" fontId="30" fillId="0" borderId="38" xfId="0" applyNumberFormat="1" applyFont="1" applyBorder="1" applyAlignment="1">
      <alignment horizontal="center" vertical="center" wrapText="1"/>
    </xf>
    <xf numFmtId="165" fontId="30" fillId="0" borderId="38" xfId="261" applyNumberFormat="1" applyFont="1" applyBorder="1" applyAlignment="1">
      <alignment horizontal="right" vertical="center"/>
    </xf>
    <xf numFmtId="172" fontId="30" fillId="0" borderId="38" xfId="0" applyNumberFormat="1" applyFont="1" applyBorder="1" applyAlignment="1">
      <alignment vertical="center"/>
    </xf>
    <xf numFmtId="0" fontId="28" fillId="0" borderId="29" xfId="0" applyFont="1" applyBorder="1" applyAlignment="1">
      <alignment horizontal="center" vertical="center"/>
    </xf>
    <xf numFmtId="0" fontId="30" fillId="0" borderId="38" xfId="0" applyFont="1" applyBorder="1" applyAlignment="1">
      <alignment vertical="center" wrapText="1"/>
    </xf>
    <xf numFmtId="0" fontId="28" fillId="0" borderId="38" xfId="0" applyFont="1" applyBorder="1" applyAlignment="1">
      <alignment horizontal="center" vertical="center"/>
    </xf>
    <xf numFmtId="0" fontId="28" fillId="0" borderId="38" xfId="0" applyFont="1" applyBorder="1" applyAlignment="1">
      <alignment vertical="center"/>
    </xf>
    <xf numFmtId="165" fontId="28" fillId="0" borderId="38" xfId="261" applyNumberFormat="1" applyFont="1" applyBorder="1" applyAlignment="1">
      <alignment vertical="center"/>
    </xf>
    <xf numFmtId="3" fontId="28" fillId="0" borderId="31" xfId="0" applyNumberFormat="1" applyFont="1" applyBorder="1" applyAlignment="1">
      <alignment vertical="center"/>
    </xf>
    <xf numFmtId="0" fontId="30" fillId="0" borderId="38" xfId="0" applyFont="1" applyBorder="1" applyAlignment="1">
      <alignment horizontal="left" vertical="center" wrapText="1"/>
    </xf>
    <xf numFmtId="3" fontId="30" fillId="0" borderId="38" xfId="0" applyNumberFormat="1" applyFont="1" applyBorder="1" applyAlignment="1">
      <alignment horizontal="right" vertical="center"/>
    </xf>
    <xf numFmtId="165" fontId="30" fillId="0" borderId="38" xfId="261" applyNumberFormat="1" applyFont="1" applyFill="1" applyBorder="1" applyAlignment="1">
      <alignment horizontal="right" vertical="center" wrapText="1"/>
    </xf>
    <xf numFmtId="3" fontId="37" fillId="24" borderId="38" xfId="0" applyNumberFormat="1" applyFont="1" applyFill="1" applyBorder="1" applyAlignment="1">
      <alignment horizontal="center" vertical="center"/>
    </xf>
    <xf numFmtId="3" fontId="37" fillId="24" borderId="31" xfId="0" applyNumberFormat="1" applyFont="1" applyFill="1" applyBorder="1" applyAlignment="1">
      <alignment horizontal="center" vertical="center" wrapText="1"/>
    </xf>
    <xf numFmtId="3" fontId="37" fillId="24" borderId="38" xfId="0" applyNumberFormat="1" applyFont="1" applyFill="1" applyBorder="1" applyAlignment="1">
      <alignment horizontal="center" vertical="center" wrapText="1"/>
    </xf>
    <xf numFmtId="3" fontId="44" fillId="31" borderId="41" xfId="384" applyNumberFormat="1" applyFont="1" applyFill="1" applyBorder="1" applyAlignment="1">
      <alignment horizontal="right" vertical="center"/>
    </xf>
    <xf numFmtId="3" fontId="44" fillId="31" borderId="11" xfId="384" applyNumberFormat="1" applyFont="1" applyFill="1" applyBorder="1" applyAlignment="1">
      <alignment horizontal="right" vertical="center"/>
    </xf>
    <xf numFmtId="0" fontId="37" fillId="27" borderId="23" xfId="0" applyFont="1" applyFill="1" applyBorder="1" applyAlignment="1">
      <alignment horizontal="left" vertical="center" wrapText="1"/>
    </xf>
    <xf numFmtId="0" fontId="37" fillId="27" borderId="54" xfId="0" applyFont="1" applyFill="1" applyBorder="1" applyAlignment="1">
      <alignment horizontal="left" vertical="center" wrapText="1"/>
    </xf>
    <xf numFmtId="0" fontId="37" fillId="27" borderId="58" xfId="0" applyFont="1" applyFill="1" applyBorder="1" applyAlignment="1">
      <alignment horizontal="left" vertical="center" wrapText="1"/>
    </xf>
    <xf numFmtId="0" fontId="37" fillId="27" borderId="34" xfId="0" applyFont="1" applyFill="1" applyBorder="1" applyAlignment="1">
      <alignment horizontal="center" vertical="center" wrapText="1"/>
    </xf>
    <xf numFmtId="0" fontId="46" fillId="28" borderId="46" xfId="0" applyFont="1" applyFill="1" applyBorder="1" applyAlignment="1">
      <alignment horizontal="center" vertical="center" wrapText="1"/>
    </xf>
    <xf numFmtId="0" fontId="46" fillId="28" borderId="38" xfId="0" applyFont="1" applyFill="1" applyBorder="1" applyAlignment="1">
      <alignment horizontal="left" vertical="center" wrapText="1"/>
    </xf>
    <xf numFmtId="0" fontId="46" fillId="28" borderId="38" xfId="0" applyFont="1" applyFill="1" applyBorder="1" applyAlignment="1">
      <alignment vertical="center" wrapText="1"/>
    </xf>
    <xf numFmtId="3" fontId="46" fillId="28" borderId="38" xfId="0" applyNumberFormat="1" applyFont="1" applyFill="1" applyBorder="1" applyAlignment="1">
      <alignment horizontal="right" vertical="center" wrapText="1"/>
    </xf>
    <xf numFmtId="3" fontId="46" fillId="28" borderId="31" xfId="0" applyNumberFormat="1" applyFont="1" applyFill="1" applyBorder="1" applyAlignment="1">
      <alignment horizontal="right" vertical="center" wrapText="1"/>
    </xf>
    <xf numFmtId="0" fontId="38" fillId="28" borderId="38" xfId="0" applyFont="1" applyFill="1" applyBorder="1" applyAlignment="1">
      <alignment horizontal="right" vertical="center" wrapText="1"/>
    </xf>
    <xf numFmtId="0" fontId="73" fillId="0" borderId="43" xfId="0" applyFont="1" applyBorder="1" applyAlignment="1">
      <alignment horizontal="center" vertical="center" wrapText="1"/>
    </xf>
    <xf numFmtId="0" fontId="73" fillId="0" borderId="11" xfId="0" applyFont="1" applyBorder="1" applyAlignment="1">
      <alignment vertical="center" wrapText="1"/>
    </xf>
    <xf numFmtId="0" fontId="73" fillId="0" borderId="11" xfId="0" applyFont="1" applyBorder="1" applyAlignment="1">
      <alignment horizontal="center" vertical="center" wrapText="1"/>
    </xf>
    <xf numFmtId="3" fontId="73" fillId="0" borderId="11" xfId="0" applyNumberFormat="1" applyFont="1" applyBorder="1" applyAlignment="1">
      <alignment horizontal="right" vertical="center" wrapText="1"/>
    </xf>
    <xf numFmtId="3" fontId="73" fillId="0" borderId="13" xfId="0" applyNumberFormat="1" applyFont="1" applyBorder="1" applyAlignment="1">
      <alignment horizontal="right" vertical="center" wrapText="1"/>
    </xf>
    <xf numFmtId="0" fontId="73" fillId="0" borderId="0" xfId="0" applyFont="1" applyAlignment="1">
      <alignment vertical="center" wrapText="1"/>
    </xf>
    <xf numFmtId="49" fontId="36" fillId="34" borderId="12" xfId="0" applyNumberFormat="1" applyFont="1" applyFill="1" applyBorder="1" applyAlignment="1">
      <alignment horizontal="center" vertical="center" wrapText="1"/>
    </xf>
    <xf numFmtId="0" fontId="36" fillId="34" borderId="11" xfId="0" applyFont="1" applyFill="1" applyBorder="1" applyAlignment="1">
      <alignment horizontal="center" vertical="center" wrapText="1"/>
    </xf>
    <xf numFmtId="49" fontId="36" fillId="34" borderId="11" xfId="0" applyNumberFormat="1" applyFont="1" applyFill="1" applyBorder="1" applyAlignment="1">
      <alignment horizontal="center" vertical="center" wrapText="1"/>
    </xf>
    <xf numFmtId="3" fontId="36" fillId="34" borderId="13" xfId="0" applyNumberFormat="1" applyFont="1" applyFill="1" applyBorder="1" applyAlignment="1">
      <alignment vertical="center" wrapText="1"/>
    </xf>
    <xf numFmtId="0" fontId="37" fillId="34" borderId="27" xfId="0" applyFont="1" applyFill="1" applyBorder="1" applyAlignment="1">
      <alignment vertical="center" wrapText="1"/>
    </xf>
    <xf numFmtId="0" fontId="37" fillId="34" borderId="42" xfId="0" applyFont="1" applyFill="1" applyBorder="1" applyAlignment="1">
      <alignment vertical="center" wrapText="1"/>
    </xf>
    <xf numFmtId="0" fontId="37" fillId="34" borderId="43" xfId="0" applyFont="1" applyFill="1" applyBorder="1" applyAlignment="1">
      <alignment vertical="center" wrapText="1"/>
    </xf>
    <xf numFmtId="49" fontId="36" fillId="34" borderId="32" xfId="0" applyNumberFormat="1" applyFont="1" applyFill="1" applyBorder="1" applyAlignment="1">
      <alignment horizontal="center" vertical="center" wrapText="1"/>
    </xf>
    <xf numFmtId="0" fontId="36" fillId="34" borderId="25" xfId="0" applyFont="1" applyFill="1" applyBorder="1" applyAlignment="1">
      <alignment horizontal="center" vertical="center" wrapText="1"/>
    </xf>
    <xf numFmtId="3" fontId="36" fillId="34" borderId="26" xfId="0" applyNumberFormat="1" applyFont="1" applyFill="1" applyBorder="1" applyAlignment="1">
      <alignment vertical="center" wrapText="1"/>
    </xf>
    <xf numFmtId="3" fontId="37" fillId="28" borderId="38" xfId="0" applyNumberFormat="1" applyFont="1" applyFill="1" applyBorder="1" applyAlignment="1">
      <alignment horizontal="right" vertical="center" wrapText="1"/>
    </xf>
    <xf numFmtId="3" fontId="39" fillId="0" borderId="0" xfId="0" applyNumberFormat="1" applyFont="1" applyAlignment="1">
      <alignment vertical="center" wrapText="1"/>
    </xf>
    <xf numFmtId="3" fontId="37" fillId="28" borderId="24" xfId="0" applyNumberFormat="1" applyFont="1" applyFill="1" applyBorder="1" applyAlignment="1">
      <alignment horizontal="right" vertical="center" wrapText="1"/>
    </xf>
    <xf numFmtId="173" fontId="28" fillId="0" borderId="11" xfId="0" applyNumberFormat="1" applyFont="1" applyBorder="1" applyAlignment="1">
      <alignment horizontal="right" vertical="center"/>
    </xf>
    <xf numFmtId="173" fontId="35" fillId="0" borderId="22" xfId="0" applyNumberFormat="1" applyFont="1" applyBorder="1" applyAlignment="1">
      <alignment horizontal="right" vertical="center"/>
    </xf>
    <xf numFmtId="173" fontId="30" fillId="0" borderId="33" xfId="0" applyNumberFormat="1" applyFont="1" applyBorder="1" applyAlignment="1">
      <alignment horizontal="right" vertical="center"/>
    </xf>
    <xf numFmtId="9" fontId="30" fillId="0" borderId="33" xfId="432" applyFont="1" applyBorder="1" applyAlignment="1">
      <alignment horizontal="right" vertical="center"/>
    </xf>
    <xf numFmtId="172" fontId="28" fillId="0" borderId="14" xfId="0" applyNumberFormat="1" applyFont="1" applyBorder="1" applyAlignment="1">
      <alignment vertical="center"/>
    </xf>
    <xf numFmtId="172" fontId="28" fillId="0" borderId="11" xfId="0" applyNumberFormat="1" applyFont="1" applyBorder="1" applyAlignment="1">
      <alignment vertical="center"/>
    </xf>
    <xf numFmtId="173" fontId="28" fillId="0" borderId="11" xfId="0" applyNumberFormat="1" applyFont="1" applyBorder="1" applyAlignment="1">
      <alignment vertical="center"/>
    </xf>
    <xf numFmtId="172" fontId="28" fillId="0" borderId="27" xfId="0" applyNumberFormat="1" applyFont="1" applyBorder="1" applyAlignment="1">
      <alignment vertical="center"/>
    </xf>
    <xf numFmtId="4" fontId="28" fillId="0" borderId="11" xfId="0" applyNumberFormat="1" applyFont="1" applyBorder="1" applyAlignment="1">
      <alignment vertical="center"/>
    </xf>
    <xf numFmtId="3" fontId="32" fillId="0" borderId="11" xfId="0" applyNumberFormat="1" applyFont="1" applyBorder="1" applyAlignment="1">
      <alignment vertical="center"/>
    </xf>
    <xf numFmtId="173" fontId="28" fillId="0" borderId="47" xfId="0" applyNumberFormat="1" applyFont="1" applyBorder="1" applyAlignment="1">
      <alignment horizontal="right" vertical="center"/>
    </xf>
    <xf numFmtId="173" fontId="30" fillId="0" borderId="38" xfId="0" applyNumberFormat="1" applyFont="1" applyBorder="1" applyAlignment="1">
      <alignment horizontal="right" vertical="center"/>
    </xf>
    <xf numFmtId="9" fontId="30" fillId="0" borderId="38" xfId="432" applyFont="1" applyBorder="1" applyAlignment="1">
      <alignment horizontal="right" vertical="center"/>
    </xf>
    <xf numFmtId="3" fontId="28" fillId="0" borderId="38" xfId="0" applyNumberFormat="1" applyFont="1" applyBorder="1" applyAlignment="1">
      <alignment vertical="center"/>
    </xf>
    <xf numFmtId="172" fontId="28" fillId="0" borderId="38" xfId="0" applyNumberFormat="1" applyFont="1" applyBorder="1" applyAlignment="1">
      <alignment vertical="center"/>
    </xf>
    <xf numFmtId="172" fontId="28" fillId="0" borderId="22" xfId="0" applyNumberFormat="1" applyFont="1" applyBorder="1" applyAlignment="1">
      <alignment vertical="center"/>
    </xf>
    <xf numFmtId="172" fontId="28" fillId="0" borderId="25" xfId="0" applyNumberFormat="1" applyFont="1" applyBorder="1" applyAlignment="1">
      <alignment vertical="center"/>
    </xf>
    <xf numFmtId="174" fontId="35" fillId="0" borderId="11" xfId="261" applyNumberFormat="1" applyFont="1" applyBorder="1" applyAlignment="1">
      <alignment horizontal="right" vertical="center" wrapText="1"/>
    </xf>
    <xf numFmtId="174" fontId="28" fillId="0" borderId="11" xfId="261" applyNumberFormat="1" applyFont="1" applyBorder="1" applyAlignment="1">
      <alignment horizontal="right" vertical="center" wrapText="1"/>
    </xf>
    <xf numFmtId="174" fontId="35" fillId="0" borderId="22" xfId="261" applyNumberFormat="1" applyFont="1" applyBorder="1" applyAlignment="1">
      <alignment horizontal="right" vertical="center" wrapText="1"/>
    </xf>
    <xf numFmtId="174" fontId="28" fillId="0" borderId="14" xfId="261" applyNumberFormat="1" applyFont="1" applyBorder="1" applyAlignment="1">
      <alignment horizontal="right" vertical="center" wrapText="1"/>
    </xf>
    <xf numFmtId="174" fontId="28" fillId="0" borderId="22" xfId="261" applyNumberFormat="1" applyFont="1" applyBorder="1" applyAlignment="1">
      <alignment horizontal="right" vertical="center" wrapText="1"/>
    </xf>
    <xf numFmtId="174" fontId="30" fillId="0" borderId="11" xfId="261" applyNumberFormat="1" applyFont="1" applyBorder="1" applyAlignment="1">
      <alignment horizontal="right" vertical="center" wrapText="1"/>
    </xf>
    <xf numFmtId="173" fontId="30" fillId="0" borderId="38" xfId="0" applyNumberFormat="1" applyFont="1" applyBorder="1" applyAlignment="1">
      <alignment horizontal="right" vertical="center" wrapText="1"/>
    </xf>
    <xf numFmtId="9" fontId="30" fillId="0" borderId="38" xfId="432" applyFont="1" applyFill="1" applyBorder="1" applyAlignment="1">
      <alignment horizontal="right" vertical="center" wrapText="1"/>
    </xf>
    <xf numFmtId="0" fontId="30" fillId="34" borderId="38" xfId="0" applyFont="1" applyFill="1" applyBorder="1" applyAlignment="1">
      <alignment horizontal="left" vertical="center" wrapText="1"/>
    </xf>
    <xf numFmtId="0" fontId="30" fillId="34" borderId="38" xfId="0" applyFont="1" applyFill="1" applyBorder="1" applyAlignment="1">
      <alignment horizontal="center" vertical="center" wrapText="1"/>
    </xf>
    <xf numFmtId="3" fontId="30" fillId="34" borderId="38" xfId="0" applyNumberFormat="1" applyFont="1" applyFill="1" applyBorder="1" applyAlignment="1">
      <alignment horizontal="right" vertical="center"/>
    </xf>
    <xf numFmtId="173" fontId="30" fillId="34" borderId="38" xfId="0" applyNumberFormat="1" applyFont="1" applyFill="1" applyBorder="1" applyAlignment="1">
      <alignment horizontal="right" vertical="center" wrapText="1"/>
    </xf>
    <xf numFmtId="9" fontId="30" fillId="34" borderId="38" xfId="432" applyFont="1" applyFill="1" applyBorder="1" applyAlignment="1">
      <alignment horizontal="right" vertical="center" wrapText="1"/>
    </xf>
    <xf numFmtId="174" fontId="28" fillId="0" borderId="25" xfId="261" applyNumberFormat="1" applyFont="1" applyBorder="1" applyAlignment="1">
      <alignment horizontal="right" vertical="center" wrapText="1"/>
    </xf>
    <xf numFmtId="0" fontId="36" fillId="0" borderId="25" xfId="0" applyFont="1" applyBorder="1" applyAlignment="1">
      <alignment horizontal="left" vertical="center" wrapText="1"/>
    </xf>
    <xf numFmtId="0" fontId="12" fillId="0" borderId="0" xfId="0" applyFont="1" applyAlignment="1">
      <alignment vertical="center"/>
    </xf>
    <xf numFmtId="3" fontId="37" fillId="28" borderId="36" xfId="0" applyNumberFormat="1" applyFont="1" applyFill="1" applyBorder="1" applyAlignment="1">
      <alignment horizontal="right" vertical="center" wrapText="1"/>
    </xf>
    <xf numFmtId="0" fontId="37" fillId="24" borderId="38" xfId="0" applyFont="1" applyFill="1" applyBorder="1" applyAlignment="1">
      <alignment horizontal="center" vertical="center" wrapText="1"/>
    </xf>
    <xf numFmtId="0" fontId="37" fillId="0" borderId="38" xfId="0" applyFont="1" applyBorder="1" applyAlignment="1">
      <alignment horizontal="center" vertical="center" wrapText="1"/>
    </xf>
    <xf numFmtId="49" fontId="36" fillId="0" borderId="38" xfId="0" applyNumberFormat="1" applyFont="1" applyBorder="1" applyAlignment="1">
      <alignment horizontal="center" vertical="center" wrapText="1"/>
    </xf>
    <xf numFmtId="0" fontId="36" fillId="0" borderId="38" xfId="0" applyFont="1" applyBorder="1" applyAlignment="1">
      <alignment horizontal="left" vertical="center" wrapText="1"/>
    </xf>
    <xf numFmtId="0" fontId="36" fillId="0" borderId="38" xfId="0" applyFont="1" applyBorder="1" applyAlignment="1">
      <alignment horizontal="center" vertical="center" wrapText="1"/>
    </xf>
    <xf numFmtId="3" fontId="36" fillId="0" borderId="38" xfId="0" applyNumberFormat="1" applyFont="1" applyBorder="1" applyAlignment="1">
      <alignment horizontal="center" vertical="center" wrapText="1"/>
    </xf>
    <xf numFmtId="0" fontId="36" fillId="0" borderId="38" xfId="0" applyFont="1" applyBorder="1" applyAlignment="1">
      <alignment vertical="center" wrapText="1"/>
    </xf>
    <xf numFmtId="0" fontId="39" fillId="0" borderId="38" xfId="0" applyFont="1" applyBorder="1" applyAlignment="1">
      <alignment horizontal="center" vertical="center" wrapText="1"/>
    </xf>
    <xf numFmtId="0" fontId="39" fillId="0" borderId="38" xfId="0" applyFont="1" applyBorder="1" applyAlignment="1">
      <alignment horizontal="left" vertical="center" wrapText="1"/>
    </xf>
    <xf numFmtId="4" fontId="36" fillId="0" borderId="38" xfId="0" applyNumberFormat="1" applyFont="1" applyBorder="1" applyAlignment="1">
      <alignment horizontal="right" vertical="center" wrapText="1"/>
    </xf>
    <xf numFmtId="9" fontId="37" fillId="0" borderId="38" xfId="0" applyNumberFormat="1" applyFont="1" applyBorder="1" applyAlignment="1">
      <alignment horizontal="center" vertical="center" wrapText="1"/>
    </xf>
    <xf numFmtId="0" fontId="57" fillId="0" borderId="0" xfId="0" applyFont="1" applyAlignment="1">
      <alignment horizontal="center" vertical="center" wrapText="1"/>
    </xf>
    <xf numFmtId="49" fontId="57" fillId="29" borderId="14" xfId="0" applyNumberFormat="1" applyFont="1" applyFill="1" applyBorder="1" applyAlignment="1">
      <alignment horizontal="center" vertical="center" wrapText="1"/>
    </xf>
    <xf numFmtId="3" fontId="57" fillId="29" borderId="14" xfId="0" applyNumberFormat="1" applyFont="1" applyFill="1" applyBorder="1" applyAlignment="1">
      <alignment horizontal="right" vertical="center" wrapText="1"/>
    </xf>
    <xf numFmtId="3" fontId="57" fillId="29" borderId="24" xfId="0" applyNumberFormat="1" applyFont="1" applyFill="1" applyBorder="1" applyAlignment="1">
      <alignment horizontal="right" vertical="center" wrapText="1"/>
    </xf>
    <xf numFmtId="0" fontId="57" fillId="0" borderId="0" xfId="0" applyFont="1" applyAlignment="1">
      <alignment vertical="center" wrapText="1"/>
    </xf>
    <xf numFmtId="0" fontId="57" fillId="29" borderId="12" xfId="0" applyFont="1" applyFill="1" applyBorder="1" applyAlignment="1">
      <alignment horizontal="center" vertical="center" wrapText="1"/>
    </xf>
    <xf numFmtId="49" fontId="57" fillId="29" borderId="11" xfId="0" applyNumberFormat="1" applyFont="1" applyFill="1" applyBorder="1" applyAlignment="1">
      <alignment horizontal="center" vertical="center" wrapText="1"/>
    </xf>
    <xf numFmtId="3" fontId="57" fillId="29" borderId="11" xfId="0" applyNumberFormat="1" applyFont="1" applyFill="1" applyBorder="1" applyAlignment="1">
      <alignment horizontal="right" vertical="center" wrapText="1"/>
    </xf>
    <xf numFmtId="3" fontId="57" fillId="29" borderId="13" xfId="0" applyNumberFormat="1" applyFont="1" applyFill="1" applyBorder="1" applyAlignment="1">
      <alignment horizontal="right" vertical="center" wrapText="1"/>
    </xf>
    <xf numFmtId="0" fontId="59" fillId="0" borderId="12" xfId="0" applyFont="1" applyBorder="1" applyAlignment="1">
      <alignment horizontal="center" vertical="center" wrapText="1"/>
    </xf>
    <xf numFmtId="0" fontId="59" fillId="0" borderId="11" xfId="0" applyFont="1" applyBorder="1" applyAlignment="1">
      <alignment horizontal="center" vertical="center" wrapText="1"/>
    </xf>
    <xf numFmtId="49" fontId="59" fillId="0" borderId="11" xfId="0" applyNumberFormat="1" applyFont="1" applyBorder="1" applyAlignment="1">
      <alignment horizontal="center" vertical="center" wrapText="1"/>
    </xf>
    <xf numFmtId="3" fontId="59" fillId="0" borderId="11" xfId="0" applyNumberFormat="1" applyFont="1" applyBorder="1" applyAlignment="1">
      <alignment horizontal="right" vertical="center" wrapText="1"/>
    </xf>
    <xf numFmtId="3" fontId="59" fillId="0" borderId="13" xfId="0" applyNumberFormat="1" applyFont="1" applyBorder="1" applyAlignment="1">
      <alignment horizontal="right" vertical="center" wrapText="1"/>
    </xf>
    <xf numFmtId="0" fontId="59" fillId="0" borderId="0" xfId="0" applyFont="1" applyAlignment="1">
      <alignment vertical="center" wrapText="1"/>
    </xf>
    <xf numFmtId="0" fontId="59" fillId="0" borderId="11" xfId="0" applyFont="1" applyBorder="1" applyAlignment="1">
      <alignment vertical="center" wrapText="1"/>
    </xf>
    <xf numFmtId="0" fontId="60" fillId="0" borderId="12" xfId="0" applyFont="1" applyBorder="1" applyAlignment="1">
      <alignment horizontal="center" vertical="center" wrapText="1"/>
    </xf>
    <xf numFmtId="3" fontId="60" fillId="0" borderId="11" xfId="0" applyNumberFormat="1" applyFont="1" applyBorder="1" applyAlignment="1">
      <alignment vertical="center" wrapText="1"/>
    </xf>
    <xf numFmtId="0" fontId="60" fillId="0" borderId="11" xfId="0" applyFont="1" applyBorder="1" applyAlignment="1">
      <alignment horizontal="center" vertical="center" wrapText="1"/>
    </xf>
    <xf numFmtId="49" fontId="61" fillId="0" borderId="11" xfId="0" applyNumberFormat="1" applyFont="1" applyBorder="1" applyAlignment="1">
      <alignment horizontal="center" vertical="center" wrapText="1"/>
    </xf>
    <xf numFmtId="3" fontId="60" fillId="0" borderId="11" xfId="0" applyNumberFormat="1" applyFont="1" applyBorder="1" applyAlignment="1">
      <alignment horizontal="right" vertical="center" wrapText="1"/>
    </xf>
    <xf numFmtId="3" fontId="60" fillId="0" borderId="13" xfId="0" applyNumberFormat="1" applyFont="1" applyBorder="1" applyAlignment="1">
      <alignment horizontal="right" vertical="center" wrapText="1"/>
    </xf>
    <xf numFmtId="0" fontId="60" fillId="0" borderId="0" xfId="0" applyFont="1" applyAlignment="1">
      <alignment vertical="center" wrapText="1"/>
    </xf>
    <xf numFmtId="0" fontId="61" fillId="0" borderId="12" xfId="0" applyFont="1" applyBorder="1" applyAlignment="1">
      <alignment horizontal="center" vertical="center" wrapText="1"/>
    </xf>
    <xf numFmtId="3" fontId="61" fillId="0" borderId="11" xfId="0" applyNumberFormat="1" applyFont="1" applyBorder="1" applyAlignment="1">
      <alignment vertical="center" wrapText="1"/>
    </xf>
    <xf numFmtId="0" fontId="61" fillId="0" borderId="11" xfId="0" applyFont="1" applyBorder="1" applyAlignment="1">
      <alignment horizontal="center" vertical="center" wrapText="1"/>
    </xf>
    <xf numFmtId="3" fontId="61" fillId="0" borderId="11" xfId="0" applyNumberFormat="1" applyFont="1" applyBorder="1" applyAlignment="1">
      <alignment horizontal="right" vertical="center" wrapText="1"/>
    </xf>
    <xf numFmtId="3" fontId="61" fillId="0" borderId="13" xfId="0" applyNumberFormat="1" applyFont="1" applyBorder="1" applyAlignment="1">
      <alignment horizontal="right" vertical="center" wrapText="1"/>
    </xf>
    <xf numFmtId="0" fontId="61" fillId="0" borderId="0" xfId="0" applyFont="1" applyAlignment="1">
      <alignment vertical="center" wrapText="1"/>
    </xf>
    <xf numFmtId="0" fontId="60" fillId="0" borderId="11" xfId="0" applyFont="1" applyBorder="1" applyAlignment="1">
      <alignment vertical="center" wrapText="1"/>
    </xf>
    <xf numFmtId="0" fontId="75" fillId="0" borderId="12" xfId="0" applyFont="1" applyBorder="1" applyAlignment="1">
      <alignment horizontal="center" vertical="center" wrapText="1"/>
    </xf>
    <xf numFmtId="0" fontId="75" fillId="0" borderId="11" xfId="0" applyFont="1" applyBorder="1" applyAlignment="1">
      <alignment vertical="center" wrapText="1"/>
    </xf>
    <xf numFmtId="0" fontId="75" fillId="0" borderId="11" xfId="0" applyFont="1" applyBorder="1" applyAlignment="1">
      <alignment horizontal="center" vertical="center" wrapText="1"/>
    </xf>
    <xf numFmtId="0" fontId="76" fillId="0" borderId="11" xfId="0" applyFont="1" applyBorder="1" applyAlignment="1">
      <alignment horizontal="center" vertical="center" wrapText="1"/>
    </xf>
    <xf numFmtId="3" fontId="75" fillId="0" borderId="11" xfId="0" applyNumberFormat="1" applyFont="1" applyBorder="1" applyAlignment="1">
      <alignment horizontal="right" vertical="center" wrapText="1"/>
    </xf>
    <xf numFmtId="3" fontId="75" fillId="0" borderId="13" xfId="0" applyNumberFormat="1" applyFont="1" applyBorder="1" applyAlignment="1">
      <alignment horizontal="right" vertical="center" wrapText="1"/>
    </xf>
    <xf numFmtId="0" fontId="75" fillId="0" borderId="0" xfId="0" applyFont="1" applyAlignment="1">
      <alignment vertical="center" wrapText="1"/>
    </xf>
    <xf numFmtId="0" fontId="76" fillId="0" borderId="12" xfId="0" applyFont="1" applyBorder="1" applyAlignment="1">
      <alignment horizontal="center" vertical="center" wrapText="1"/>
    </xf>
    <xf numFmtId="0" fontId="76" fillId="0" borderId="11" xfId="0" applyFont="1" applyBorder="1" applyAlignment="1">
      <alignment vertical="center" wrapText="1"/>
    </xf>
    <xf numFmtId="0" fontId="57" fillId="0" borderId="11" xfId="0" applyFont="1" applyBorder="1" applyAlignment="1">
      <alignment horizontal="center" vertical="center" wrapText="1"/>
    </xf>
    <xf numFmtId="3" fontId="57" fillId="0" borderId="11" xfId="0" applyNumberFormat="1" applyFont="1" applyBorder="1" applyAlignment="1">
      <alignment horizontal="right" vertical="center" wrapText="1"/>
    </xf>
    <xf numFmtId="3" fontId="57" fillId="0" borderId="13" xfId="0" applyNumberFormat="1" applyFont="1" applyBorder="1" applyAlignment="1">
      <alignment horizontal="right" vertical="center" wrapText="1"/>
    </xf>
    <xf numFmtId="49" fontId="60" fillId="0" borderId="11" xfId="0" applyNumberFormat="1" applyFont="1" applyBorder="1" applyAlignment="1">
      <alignment horizontal="center" vertical="center" wrapText="1"/>
    </xf>
    <xf numFmtId="0" fontId="60" fillId="0" borderId="11" xfId="0" applyFont="1" applyBorder="1" applyAlignment="1">
      <alignment horizontal="left" vertical="center" wrapText="1"/>
    </xf>
    <xf numFmtId="0" fontId="61" fillId="0" borderId="11" xfId="0" applyFont="1" applyBorder="1" applyAlignment="1">
      <alignment vertical="center" wrapText="1"/>
    </xf>
    <xf numFmtId="0" fontId="75" fillId="0" borderId="12" xfId="0" applyFont="1" applyBorder="1" applyAlignment="1">
      <alignment vertical="center" wrapText="1"/>
    </xf>
    <xf numFmtId="3" fontId="75" fillId="0" borderId="11" xfId="0" applyNumberFormat="1" applyFont="1" applyBorder="1" applyAlignment="1">
      <alignment vertical="center" wrapText="1"/>
    </xf>
    <xf numFmtId="3" fontId="75" fillId="0" borderId="13" xfId="0" applyNumberFormat="1" applyFont="1" applyBorder="1" applyAlignment="1">
      <alignment vertical="center" wrapText="1"/>
    </xf>
    <xf numFmtId="0" fontId="57" fillId="0" borderId="12" xfId="0" applyFont="1" applyBorder="1" applyAlignment="1">
      <alignment horizontal="center" vertical="center" wrapText="1"/>
    </xf>
    <xf numFmtId="0" fontId="57" fillId="0" borderId="11" xfId="0" applyFont="1" applyBorder="1" applyAlignment="1">
      <alignment vertical="center" wrapText="1"/>
    </xf>
    <xf numFmtId="49" fontId="57" fillId="0" borderId="11" xfId="0" applyNumberFormat="1" applyFont="1" applyBorder="1" applyAlignment="1">
      <alignment horizontal="center" vertical="center" wrapText="1"/>
    </xf>
    <xf numFmtId="3" fontId="60" fillId="34" borderId="11" xfId="0" applyNumberFormat="1" applyFont="1" applyFill="1" applyBorder="1" applyAlignment="1">
      <alignment horizontal="right" vertical="center" wrapText="1"/>
    </xf>
    <xf numFmtId="0" fontId="57" fillId="28" borderId="12" xfId="0" applyFont="1" applyFill="1" applyBorder="1" applyAlignment="1">
      <alignment horizontal="center" vertical="center" wrapText="1"/>
    </xf>
    <xf numFmtId="3" fontId="57" fillId="28" borderId="13" xfId="0" applyNumberFormat="1" applyFont="1" applyFill="1" applyBorder="1" applyAlignment="1">
      <alignment horizontal="right" vertical="center" wrapText="1"/>
    </xf>
    <xf numFmtId="0" fontId="57" fillId="29" borderId="11" xfId="0" applyFont="1" applyFill="1" applyBorder="1" applyAlignment="1">
      <alignment horizontal="left" vertical="center" wrapText="1"/>
    </xf>
    <xf numFmtId="0" fontId="57" fillId="29" borderId="11" xfId="0" applyFont="1" applyFill="1" applyBorder="1" applyAlignment="1">
      <alignment horizontal="center" vertical="center" wrapText="1"/>
    </xf>
    <xf numFmtId="3" fontId="57" fillId="0" borderId="11" xfId="0" applyNumberFormat="1" applyFont="1" applyBorder="1" applyAlignment="1">
      <alignment vertical="center" wrapText="1"/>
    </xf>
    <xf numFmtId="0" fontId="57" fillId="29" borderId="12" xfId="0" applyFont="1" applyFill="1" applyBorder="1" applyAlignment="1">
      <alignment vertical="center" wrapText="1"/>
    </xf>
    <xf numFmtId="0" fontId="57" fillId="29" borderId="11" xfId="0" applyFont="1" applyFill="1" applyBorder="1" applyAlignment="1">
      <alignment vertical="center" wrapText="1"/>
    </xf>
    <xf numFmtId="3" fontId="59" fillId="0" borderId="11" xfId="0" applyNumberFormat="1" applyFont="1" applyBorder="1" applyAlignment="1">
      <alignment vertical="center" wrapText="1"/>
    </xf>
    <xf numFmtId="3" fontId="59" fillId="0" borderId="13" xfId="0" applyNumberFormat="1" applyFont="1" applyBorder="1" applyAlignment="1">
      <alignment vertical="center" wrapText="1"/>
    </xf>
    <xf numFmtId="3" fontId="57" fillId="0" borderId="13" xfId="0" applyNumberFormat="1" applyFont="1" applyBorder="1" applyAlignment="1">
      <alignment vertical="center" wrapText="1"/>
    </xf>
    <xf numFmtId="3" fontId="60" fillId="0" borderId="13" xfId="0" applyNumberFormat="1" applyFont="1" applyBorder="1" applyAlignment="1">
      <alignment vertical="center" wrapText="1"/>
    </xf>
    <xf numFmtId="0" fontId="60" fillId="0" borderId="32" xfId="0" applyFont="1" applyBorder="1" applyAlignment="1">
      <alignment horizontal="center" vertical="center" wrapText="1"/>
    </xf>
    <xf numFmtId="0" fontId="60" fillId="0" borderId="25" xfId="0" applyFont="1" applyBorder="1" applyAlignment="1">
      <alignment horizontal="left" vertical="center" wrapText="1"/>
    </xf>
    <xf numFmtId="0" fontId="60" fillId="0" borderId="25" xfId="0" applyFont="1" applyBorder="1" applyAlignment="1">
      <alignment horizontal="center" vertical="center" wrapText="1"/>
    </xf>
    <xf numFmtId="3" fontId="60" fillId="0" borderId="25" xfId="0" applyNumberFormat="1" applyFont="1" applyBorder="1" applyAlignment="1">
      <alignment vertical="center" wrapText="1"/>
    </xf>
    <xf numFmtId="3" fontId="60" fillId="0" borderId="26" xfId="0" applyNumberFormat="1" applyFont="1" applyBorder="1" applyAlignment="1">
      <alignment vertical="center" wrapText="1"/>
    </xf>
    <xf numFmtId="0" fontId="60" fillId="0" borderId="0" xfId="0" applyFont="1" applyAlignment="1">
      <alignment horizontal="center" vertical="center" wrapText="1"/>
    </xf>
    <xf numFmtId="9" fontId="57" fillId="24" borderId="33" xfId="0" applyNumberFormat="1" applyFont="1" applyFill="1" applyBorder="1" applyAlignment="1">
      <alignment horizontal="center" vertical="center" wrapText="1"/>
    </xf>
    <xf numFmtId="0" fontId="60" fillId="0" borderId="12" xfId="0" applyFont="1" applyBorder="1" applyAlignment="1">
      <alignment horizontal="left" vertical="center" wrapText="1"/>
    </xf>
    <xf numFmtId="3" fontId="60" fillId="0" borderId="11" xfId="0" applyNumberFormat="1" applyFont="1" applyBorder="1" applyAlignment="1">
      <alignment horizontal="left" vertical="center" wrapText="1"/>
    </xf>
    <xf numFmtId="3" fontId="60" fillId="0" borderId="13" xfId="0" applyNumberFormat="1" applyFont="1" applyBorder="1" applyAlignment="1">
      <alignment horizontal="left" vertical="center" wrapText="1"/>
    </xf>
    <xf numFmtId="0" fontId="59" fillId="0" borderId="0" xfId="0" applyFont="1" applyAlignment="1">
      <alignment horizontal="left" vertical="center" wrapText="1"/>
    </xf>
    <xf numFmtId="0" fontId="57" fillId="0" borderId="19" xfId="0" applyFont="1" applyBorder="1" applyAlignment="1">
      <alignment horizontal="center"/>
    </xf>
    <xf numFmtId="0" fontId="57" fillId="0" borderId="19" xfId="0" applyFont="1" applyBorder="1" applyAlignment="1">
      <alignment horizontal="left"/>
    </xf>
    <xf numFmtId="49" fontId="57" fillId="0" borderId="19" xfId="0" applyNumberFormat="1" applyFont="1" applyBorder="1" applyAlignment="1">
      <alignment horizontal="center"/>
    </xf>
    <xf numFmtId="0" fontId="57" fillId="0" borderId="19" xfId="0" applyFont="1" applyBorder="1" applyAlignment="1">
      <alignment horizontal="center" vertical="distributed"/>
    </xf>
    <xf numFmtId="3" fontId="57" fillId="0" borderId="19" xfId="0" applyNumberFormat="1" applyFont="1" applyBorder="1" applyAlignment="1">
      <alignment horizontal="center"/>
    </xf>
    <xf numFmtId="0" fontId="57" fillId="0" borderId="0" xfId="0" applyFont="1" applyAlignment="1">
      <alignment horizontal="center"/>
    </xf>
    <xf numFmtId="0" fontId="57" fillId="24" borderId="18" xfId="0" applyFont="1" applyFill="1" applyBorder="1" applyAlignment="1">
      <alignment horizontal="center" vertical="center"/>
    </xf>
    <xf numFmtId="49" fontId="57" fillId="24" borderId="18" xfId="0" applyNumberFormat="1" applyFont="1" applyFill="1" applyBorder="1" applyAlignment="1">
      <alignment horizontal="center" vertical="center"/>
    </xf>
    <xf numFmtId="3" fontId="57" fillId="24" borderId="18" xfId="0" applyNumberFormat="1" applyFont="1" applyFill="1" applyBorder="1" applyAlignment="1">
      <alignment horizontal="center" vertical="center"/>
    </xf>
    <xf numFmtId="3" fontId="57" fillId="24" borderId="59" xfId="0" applyNumberFormat="1" applyFont="1" applyFill="1" applyBorder="1" applyAlignment="1">
      <alignment horizontal="center" vertical="center"/>
    </xf>
    <xf numFmtId="0" fontId="57" fillId="0" borderId="0" xfId="0" applyFont="1" applyAlignment="1">
      <alignment horizontal="center" vertical="center"/>
    </xf>
    <xf numFmtId="0" fontId="57" fillId="24" borderId="33" xfId="0" applyFont="1" applyFill="1" applyBorder="1" applyAlignment="1">
      <alignment horizontal="center" vertical="center"/>
    </xf>
    <xf numFmtId="49" fontId="57" fillId="24" borderId="33" xfId="0" applyNumberFormat="1" applyFont="1" applyFill="1" applyBorder="1" applyAlignment="1">
      <alignment horizontal="center" vertical="center"/>
    </xf>
    <xf numFmtId="4" fontId="57" fillId="24" borderId="33" xfId="0" applyNumberFormat="1" applyFont="1" applyFill="1" applyBorder="1" applyAlignment="1">
      <alignment horizontal="center" vertical="center"/>
    </xf>
    <xf numFmtId="3" fontId="57" fillId="24" borderId="33" xfId="0" applyNumberFormat="1" applyFont="1" applyFill="1" applyBorder="1" applyAlignment="1">
      <alignment horizontal="center" vertical="center"/>
    </xf>
    <xf numFmtId="172" fontId="57" fillId="24" borderId="33" xfId="0" applyNumberFormat="1" applyFont="1" applyFill="1" applyBorder="1" applyAlignment="1">
      <alignment horizontal="center" vertical="center"/>
    </xf>
    <xf numFmtId="172" fontId="57" fillId="24" borderId="53" xfId="0" applyNumberFormat="1" applyFont="1" applyFill="1" applyBorder="1" applyAlignment="1">
      <alignment horizontal="center" vertical="center"/>
    </xf>
    <xf numFmtId="49" fontId="57" fillId="28" borderId="30" xfId="0" applyNumberFormat="1" applyFont="1" applyFill="1" applyBorder="1" applyAlignment="1">
      <alignment horizontal="center" vertical="center" wrapText="1"/>
    </xf>
    <xf numFmtId="3" fontId="57" fillId="28" borderId="41" xfId="0" applyNumberFormat="1" applyFont="1" applyFill="1" applyBorder="1" applyAlignment="1">
      <alignment vertical="center" wrapText="1"/>
    </xf>
    <xf numFmtId="3" fontId="59" fillId="28" borderId="50" xfId="0" applyNumberFormat="1" applyFont="1" applyFill="1" applyBorder="1" applyAlignment="1">
      <alignment vertical="center" wrapText="1"/>
    </xf>
    <xf numFmtId="0" fontId="57" fillId="27" borderId="60" xfId="0" applyFont="1" applyFill="1" applyBorder="1" applyAlignment="1">
      <alignment horizontal="left" vertical="center" wrapText="1"/>
    </xf>
    <xf numFmtId="0" fontId="57" fillId="27" borderId="14" xfId="0" applyFont="1" applyFill="1" applyBorder="1" applyAlignment="1">
      <alignment horizontal="center" vertical="center" wrapText="1"/>
    </xf>
    <xf numFmtId="0" fontId="57" fillId="27" borderId="14" xfId="0" applyFont="1" applyFill="1" applyBorder="1" applyAlignment="1">
      <alignment vertical="center" wrapText="1"/>
    </xf>
    <xf numFmtId="3" fontId="57" fillId="27" borderId="14" xfId="0" applyNumberFormat="1" applyFont="1" applyFill="1" applyBorder="1" applyAlignment="1">
      <alignment horizontal="right" vertical="center" wrapText="1"/>
    </xf>
    <xf numFmtId="0" fontId="57" fillId="27" borderId="11" xfId="0" applyFont="1" applyFill="1" applyBorder="1" applyAlignment="1">
      <alignment horizontal="center" vertical="center" wrapText="1"/>
    </xf>
    <xf numFmtId="0" fontId="57" fillId="27" borderId="11" xfId="0" applyFont="1" applyFill="1" applyBorder="1" applyAlignment="1">
      <alignment horizontal="left" vertical="center" wrapText="1"/>
    </xf>
    <xf numFmtId="3" fontId="57" fillId="27" borderId="11" xfId="0" applyNumberFormat="1" applyFont="1" applyFill="1" applyBorder="1" applyAlignment="1">
      <alignment horizontal="right" vertical="center" wrapText="1"/>
    </xf>
    <xf numFmtId="0" fontId="57" fillId="27" borderId="57" xfId="0" applyFont="1" applyFill="1" applyBorder="1" applyAlignment="1">
      <alignment horizontal="left" vertical="center" wrapText="1"/>
    </xf>
    <xf numFmtId="0" fontId="77" fillId="0" borderId="12" xfId="0" applyFont="1" applyBorder="1" applyAlignment="1">
      <alignment horizontal="center" vertical="center" wrapText="1"/>
    </xf>
    <xf numFmtId="0" fontId="77" fillId="0" borderId="11" xfId="0" applyFont="1" applyBorder="1" applyAlignment="1">
      <alignment vertical="center" wrapText="1"/>
    </xf>
    <xf numFmtId="0" fontId="77" fillId="0" borderId="11" xfId="0" applyFont="1" applyBorder="1" applyAlignment="1">
      <alignment horizontal="center" vertical="center" wrapText="1"/>
    </xf>
    <xf numFmtId="3" fontId="77" fillId="0" borderId="11" xfId="262" applyNumberFormat="1" applyFont="1" applyFill="1" applyBorder="1" applyAlignment="1">
      <alignment horizontal="right" vertical="center" wrapText="1"/>
    </xf>
    <xf numFmtId="3" fontId="77" fillId="0" borderId="11" xfId="0" applyNumberFormat="1" applyFont="1" applyBorder="1" applyAlignment="1">
      <alignment horizontal="right" vertical="center" wrapText="1"/>
    </xf>
    <xf numFmtId="3" fontId="77" fillId="0" borderId="13" xfId="0" applyNumberFormat="1" applyFont="1" applyBorder="1" applyAlignment="1">
      <alignment horizontal="right" vertical="center" wrapText="1"/>
    </xf>
    <xf numFmtId="0" fontId="77" fillId="0" borderId="0" xfId="0" applyFont="1" applyAlignment="1">
      <alignment vertical="center" wrapText="1"/>
    </xf>
    <xf numFmtId="3" fontId="77" fillId="0" borderId="0" xfId="0" applyNumberFormat="1" applyFont="1" applyAlignment="1">
      <alignment vertical="center" wrapText="1"/>
    </xf>
    <xf numFmtId="0" fontId="78" fillId="0" borderId="12" xfId="0" applyFont="1" applyBorder="1" applyAlignment="1">
      <alignment horizontal="center" vertical="center" wrapText="1"/>
    </xf>
    <xf numFmtId="0" fontId="78" fillId="0" borderId="11" xfId="0" applyFont="1" applyBorder="1" applyAlignment="1">
      <alignment vertical="center" wrapText="1"/>
    </xf>
    <xf numFmtId="0" fontId="78" fillId="0" borderId="11" xfId="0" applyFont="1" applyBorder="1" applyAlignment="1">
      <alignment horizontal="center" vertical="center" wrapText="1"/>
    </xf>
    <xf numFmtId="3" fontId="78" fillId="0" borderId="11" xfId="262" applyNumberFormat="1" applyFont="1" applyFill="1" applyBorder="1" applyAlignment="1">
      <alignment horizontal="right" vertical="center" wrapText="1"/>
    </xf>
    <xf numFmtId="3" fontId="78" fillId="0" borderId="11" xfId="0" applyNumberFormat="1" applyFont="1" applyBorder="1" applyAlignment="1">
      <alignment horizontal="right" vertical="center" wrapText="1"/>
    </xf>
    <xf numFmtId="3" fontId="78" fillId="0" borderId="13" xfId="0" applyNumberFormat="1" applyFont="1" applyBorder="1" applyAlignment="1">
      <alignment horizontal="right" vertical="center" wrapText="1"/>
    </xf>
    <xf numFmtId="0" fontId="78" fillId="0" borderId="0" xfId="0" applyFont="1" applyAlignment="1">
      <alignment vertical="center" wrapText="1"/>
    </xf>
    <xf numFmtId="3" fontId="78" fillId="0" borderId="0" xfId="0" applyNumberFormat="1" applyFont="1" applyAlignment="1">
      <alignment vertical="center" wrapText="1"/>
    </xf>
    <xf numFmtId="3" fontId="61" fillId="0" borderId="11" xfId="262" applyNumberFormat="1" applyFont="1" applyFill="1" applyBorder="1" applyAlignment="1">
      <alignment horizontal="right" vertical="center" wrapText="1"/>
    </xf>
    <xf numFmtId="3" fontId="60" fillId="0" borderId="11" xfId="262" applyNumberFormat="1" applyFont="1" applyFill="1" applyBorder="1" applyAlignment="1">
      <alignment horizontal="right" vertical="center" wrapText="1"/>
    </xf>
    <xf numFmtId="0" fontId="57" fillId="27" borderId="12" xfId="0" applyFont="1" applyFill="1" applyBorder="1" applyAlignment="1">
      <alignment horizontal="center" vertical="center" wrapText="1"/>
    </xf>
    <xf numFmtId="0" fontId="57" fillId="27" borderId="42" xfId="0" applyFont="1" applyFill="1" applyBorder="1" applyAlignment="1">
      <alignment horizontal="left" vertical="center" wrapText="1"/>
    </xf>
    <xf numFmtId="0" fontId="79" fillId="0" borderId="12" xfId="0" applyFont="1" applyBorder="1" applyAlignment="1">
      <alignment horizontal="center" vertical="center" wrapText="1"/>
    </xf>
    <xf numFmtId="0" fontId="79" fillId="0" borderId="11" xfId="0" applyFont="1" applyBorder="1" applyAlignment="1">
      <alignment vertical="center" wrapText="1"/>
    </xf>
    <xf numFmtId="0" fontId="79" fillId="0" borderId="11" xfId="0" applyFont="1" applyBorder="1" applyAlignment="1">
      <alignment horizontal="center" vertical="center" wrapText="1"/>
    </xf>
    <xf numFmtId="3" fontId="79" fillId="0" borderId="11" xfId="0" applyNumberFormat="1" applyFont="1" applyBorder="1" applyAlignment="1">
      <alignment horizontal="right" vertical="center" wrapText="1"/>
    </xf>
    <xf numFmtId="3" fontId="79" fillId="0" borderId="13" xfId="0" applyNumberFormat="1" applyFont="1" applyBorder="1" applyAlignment="1">
      <alignment horizontal="right" vertical="center" wrapText="1"/>
    </xf>
    <xf numFmtId="0" fontId="79" fillId="0" borderId="0" xfId="0" applyFont="1" applyAlignment="1">
      <alignment vertical="center" wrapText="1"/>
    </xf>
    <xf numFmtId="0" fontId="80" fillId="0" borderId="12" xfId="0" applyFont="1" applyBorder="1" applyAlignment="1">
      <alignment horizontal="center" vertical="center" wrapText="1"/>
    </xf>
    <xf numFmtId="0" fontId="80" fillId="0" borderId="11" xfId="0" applyFont="1" applyBorder="1" applyAlignment="1">
      <alignment vertical="center" wrapText="1"/>
    </xf>
    <xf numFmtId="0" fontId="80" fillId="0" borderId="11" xfId="0" applyFont="1" applyBorder="1" applyAlignment="1">
      <alignment horizontal="center" vertical="center" wrapText="1"/>
    </xf>
    <xf numFmtId="3" fontId="80" fillId="0" borderId="11" xfId="0" applyNumberFormat="1" applyFont="1" applyBorder="1" applyAlignment="1">
      <alignment horizontal="right" vertical="center" wrapText="1"/>
    </xf>
    <xf numFmtId="3" fontId="80" fillId="0" borderId="13" xfId="0" applyNumberFormat="1" applyFont="1" applyBorder="1" applyAlignment="1">
      <alignment horizontal="right" vertical="center" wrapText="1"/>
    </xf>
    <xf numFmtId="0" fontId="80" fillId="0" borderId="0" xfId="0" applyFont="1" applyAlignment="1">
      <alignment vertical="center" wrapText="1"/>
    </xf>
    <xf numFmtId="0" fontId="81" fillId="0" borderId="12" xfId="0" applyFont="1" applyBorder="1" applyAlignment="1">
      <alignment horizontal="center" vertical="center" wrapText="1"/>
    </xf>
    <xf numFmtId="0" fontId="81" fillId="0" borderId="11" xfId="0" applyFont="1" applyBorder="1" applyAlignment="1">
      <alignment vertical="center" wrapText="1"/>
    </xf>
    <xf numFmtId="0" fontId="81" fillId="0" borderId="11" xfId="0" applyFont="1" applyBorder="1" applyAlignment="1">
      <alignment horizontal="center" vertical="center" wrapText="1"/>
    </xf>
    <xf numFmtId="3" fontId="81" fillId="0" borderId="11" xfId="0" applyNumberFormat="1" applyFont="1" applyBorder="1" applyAlignment="1">
      <alignment horizontal="right" vertical="center" wrapText="1"/>
    </xf>
    <xf numFmtId="3" fontId="81" fillId="0" borderId="13" xfId="0" applyNumberFormat="1" applyFont="1" applyBorder="1" applyAlignment="1">
      <alignment horizontal="right" vertical="center" wrapText="1"/>
    </xf>
    <xf numFmtId="0" fontId="81" fillId="0" borderId="0" xfId="0" applyFont="1" applyAlignment="1">
      <alignment vertical="center" wrapText="1"/>
    </xf>
    <xf numFmtId="0" fontId="61" fillId="0" borderId="11" xfId="0" applyFont="1" applyBorder="1" applyAlignment="1">
      <alignment horizontal="left" vertical="center" wrapText="1"/>
    </xf>
    <xf numFmtId="0" fontId="77" fillId="0" borderId="11" xfId="0" applyFont="1" applyBorder="1" applyAlignment="1">
      <alignment horizontal="left" vertical="center" wrapText="1"/>
    </xf>
    <xf numFmtId="0" fontId="57" fillId="27" borderId="43" xfId="0" applyFont="1" applyFill="1" applyBorder="1" applyAlignment="1">
      <alignment horizontal="left" vertical="center" wrapText="1"/>
    </xf>
    <xf numFmtId="0" fontId="78" fillId="0" borderId="11" xfId="0" applyFont="1" applyBorder="1" applyAlignment="1">
      <alignment horizontal="left" vertical="center" wrapText="1"/>
    </xf>
    <xf numFmtId="3" fontId="60" fillId="29" borderId="11" xfId="0" applyNumberFormat="1" applyFont="1" applyFill="1" applyBorder="1" applyAlignment="1">
      <alignment horizontal="right" vertical="center" wrapText="1"/>
    </xf>
    <xf numFmtId="3" fontId="60" fillId="29" borderId="13" xfId="0" applyNumberFormat="1" applyFont="1" applyFill="1" applyBorder="1" applyAlignment="1">
      <alignment horizontal="right" vertical="center" wrapText="1"/>
    </xf>
    <xf numFmtId="0" fontId="60" fillId="0" borderId="45" xfId="0" applyFont="1" applyBorder="1" applyAlignment="1">
      <alignment horizontal="center" vertical="center" wrapText="1"/>
    </xf>
    <xf numFmtId="0" fontId="57" fillId="28" borderId="30" xfId="0" applyFont="1" applyFill="1" applyBorder="1" applyAlignment="1">
      <alignment horizontal="center" vertical="center" wrapText="1"/>
    </xf>
    <xf numFmtId="3" fontId="57" fillId="28" borderId="41" xfId="0" applyNumberFormat="1" applyFont="1" applyFill="1" applyBorder="1" applyAlignment="1">
      <alignment horizontal="right" vertical="center" wrapText="1"/>
    </xf>
    <xf numFmtId="3" fontId="57" fillId="28" borderId="50" xfId="0" applyNumberFormat="1" applyFont="1" applyFill="1" applyBorder="1" applyAlignment="1">
      <alignment horizontal="right" vertical="center" wrapText="1"/>
    </xf>
    <xf numFmtId="0" fontId="57" fillId="27" borderId="61" xfId="0" applyFont="1" applyFill="1" applyBorder="1" applyAlignment="1">
      <alignment horizontal="left" vertical="center" wrapText="1"/>
    </xf>
    <xf numFmtId="0" fontId="57" fillId="27" borderId="11" xfId="0" applyFont="1" applyFill="1" applyBorder="1" applyAlignment="1">
      <alignment vertical="center" wrapText="1"/>
    </xf>
    <xf numFmtId="0" fontId="57" fillId="27" borderId="14" xfId="0" applyFont="1" applyFill="1" applyBorder="1" applyAlignment="1">
      <alignment horizontal="left" vertical="center" wrapText="1"/>
    </xf>
    <xf numFmtId="0" fontId="60" fillId="0" borderId="21" xfId="0" applyFont="1" applyBorder="1" applyAlignment="1">
      <alignment horizontal="center" vertical="center" wrapText="1"/>
    </xf>
    <xf numFmtId="0" fontId="60" fillId="0" borderId="22" xfId="0" applyFont="1" applyBorder="1" applyAlignment="1">
      <alignment vertical="center" wrapText="1"/>
    </xf>
    <xf numFmtId="0" fontId="60" fillId="0" borderId="22" xfId="0" applyFont="1" applyBorder="1" applyAlignment="1">
      <alignment horizontal="center" vertical="center" wrapText="1"/>
    </xf>
    <xf numFmtId="3" fontId="60" fillId="0" borderId="22" xfId="0" applyNumberFormat="1" applyFont="1" applyBorder="1" applyAlignment="1">
      <alignment horizontal="right" vertical="center" wrapText="1"/>
    </xf>
    <xf numFmtId="0" fontId="57" fillId="27" borderId="34" xfId="0" applyFont="1" applyFill="1" applyBorder="1" applyAlignment="1">
      <alignment horizontal="center" vertical="center" wrapText="1"/>
    </xf>
    <xf numFmtId="3" fontId="60" fillId="29" borderId="14" xfId="0" applyNumberFormat="1" applyFont="1" applyFill="1" applyBorder="1" applyAlignment="1">
      <alignment horizontal="right" vertical="center" wrapText="1"/>
    </xf>
    <xf numFmtId="3" fontId="60" fillId="29" borderId="24" xfId="0" applyNumberFormat="1" applyFont="1" applyFill="1" applyBorder="1" applyAlignment="1">
      <alignment horizontal="right" vertical="center" wrapText="1"/>
    </xf>
    <xf numFmtId="3" fontId="61" fillId="0" borderId="0" xfId="0" applyNumberFormat="1" applyFont="1" applyAlignment="1">
      <alignment vertical="center" wrapText="1"/>
    </xf>
    <xf numFmtId="3" fontId="60" fillId="0" borderId="0" xfId="0" applyNumberFormat="1" applyFont="1" applyAlignment="1">
      <alignment vertical="center" wrapText="1"/>
    </xf>
    <xf numFmtId="4" fontId="57" fillId="24" borderId="33" xfId="0" applyNumberFormat="1" applyFont="1" applyFill="1" applyBorder="1" applyAlignment="1">
      <alignment horizontal="center" vertical="center" wrapText="1"/>
    </xf>
    <xf numFmtId="3" fontId="57" fillId="24" borderId="33" xfId="0" applyNumberFormat="1" applyFont="1" applyFill="1" applyBorder="1" applyAlignment="1">
      <alignment horizontal="center" vertical="center" wrapText="1"/>
    </xf>
    <xf numFmtId="3" fontId="57" fillId="24" borderId="53" xfId="0" applyNumberFormat="1" applyFont="1" applyFill="1" applyBorder="1" applyAlignment="1">
      <alignment horizontal="center" vertical="center" wrapText="1"/>
    </xf>
    <xf numFmtId="0" fontId="57" fillId="28" borderId="46" xfId="0" applyFont="1" applyFill="1" applyBorder="1" applyAlignment="1">
      <alignment horizontal="center" vertical="center" wrapText="1"/>
    </xf>
    <xf numFmtId="0" fontId="59" fillId="28" borderId="38" xfId="0" applyFont="1" applyFill="1" applyBorder="1" applyAlignment="1">
      <alignment horizontal="right" vertical="center" wrapText="1"/>
    </xf>
    <xf numFmtId="0" fontId="57" fillId="28" borderId="38" xfId="0" applyFont="1" applyFill="1" applyBorder="1" applyAlignment="1">
      <alignment vertical="center" wrapText="1"/>
    </xf>
    <xf numFmtId="0" fontId="57" fillId="28" borderId="38" xfId="0" applyFont="1" applyFill="1" applyBorder="1" applyAlignment="1">
      <alignment horizontal="left" vertical="center" wrapText="1"/>
    </xf>
    <xf numFmtId="3" fontId="57" fillId="28" borderId="38" xfId="0" applyNumberFormat="1" applyFont="1" applyFill="1" applyBorder="1" applyAlignment="1">
      <alignment horizontal="right" vertical="center" wrapText="1"/>
    </xf>
    <xf numFmtId="3" fontId="57" fillId="28" borderId="31" xfId="0" applyNumberFormat="1" applyFont="1" applyFill="1" applyBorder="1" applyAlignment="1">
      <alignment horizontal="right" vertical="center" wrapText="1"/>
    </xf>
    <xf numFmtId="173" fontId="57" fillId="27" borderId="14" xfId="0" applyNumberFormat="1" applyFont="1" applyFill="1" applyBorder="1" applyAlignment="1">
      <alignment horizontal="left" vertical="center" wrapText="1"/>
    </xf>
    <xf numFmtId="173" fontId="57" fillId="27" borderId="11" xfId="0" applyNumberFormat="1" applyFont="1" applyFill="1" applyBorder="1" applyAlignment="1">
      <alignment horizontal="left" vertical="center" wrapText="1"/>
    </xf>
    <xf numFmtId="3" fontId="57" fillId="27" borderId="27" xfId="0" applyNumberFormat="1" applyFont="1" applyFill="1" applyBorder="1" applyAlignment="1">
      <alignment horizontal="right" vertical="center" wrapText="1"/>
    </xf>
    <xf numFmtId="173" fontId="60" fillId="0" borderId="11" xfId="0" applyNumberFormat="1" applyFont="1" applyBorder="1" applyAlignment="1">
      <alignment horizontal="right" vertical="center" wrapText="1"/>
    </xf>
    <xf numFmtId="3" fontId="60" fillId="0" borderId="27" xfId="0" applyNumberFormat="1" applyFont="1" applyBorder="1" applyAlignment="1">
      <alignment horizontal="right" vertical="center" wrapText="1"/>
    </xf>
    <xf numFmtId="173" fontId="61" fillId="0" borderId="11" xfId="0" applyNumberFormat="1" applyFont="1" applyBorder="1" applyAlignment="1">
      <alignment horizontal="right" vertical="center" wrapText="1"/>
    </xf>
    <xf numFmtId="3" fontId="61" fillId="0" borderId="27" xfId="0" applyNumberFormat="1" applyFont="1" applyBorder="1" applyAlignment="1">
      <alignment horizontal="right" vertical="center" wrapText="1"/>
    </xf>
    <xf numFmtId="3" fontId="57" fillId="29" borderId="27" xfId="0" applyNumberFormat="1" applyFont="1" applyFill="1" applyBorder="1" applyAlignment="1">
      <alignment horizontal="right" vertical="center" wrapText="1"/>
    </xf>
    <xf numFmtId="0" fontId="60" fillId="0" borderId="11" xfId="0" applyFont="1" applyBorder="1" applyAlignment="1">
      <alignment horizontal="right" vertical="center" wrapText="1"/>
    </xf>
    <xf numFmtId="0" fontId="57" fillId="27" borderId="45" xfId="0" applyFont="1" applyFill="1" applyBorder="1" applyAlignment="1">
      <alignment horizontal="center" vertical="center" wrapText="1"/>
    </xf>
    <xf numFmtId="0" fontId="57" fillId="27" borderId="47" xfId="0" applyFont="1" applyFill="1" applyBorder="1" applyAlignment="1">
      <alignment horizontal="left" vertical="center" wrapText="1"/>
    </xf>
    <xf numFmtId="173" fontId="57" fillId="27" borderId="47" xfId="0" applyNumberFormat="1" applyFont="1" applyFill="1" applyBorder="1" applyAlignment="1">
      <alignment horizontal="right" vertical="center" wrapText="1"/>
    </xf>
    <xf numFmtId="3" fontId="57" fillId="27" borderId="47" xfId="0" applyNumberFormat="1" applyFont="1" applyFill="1" applyBorder="1" applyAlignment="1">
      <alignment horizontal="right" vertical="center" wrapText="1"/>
    </xf>
    <xf numFmtId="3" fontId="57" fillId="27" borderId="48" xfId="0" applyNumberFormat="1" applyFont="1" applyFill="1" applyBorder="1" applyAlignment="1">
      <alignment horizontal="right" vertical="center" wrapText="1"/>
    </xf>
    <xf numFmtId="3" fontId="60" fillId="29" borderId="47" xfId="0" applyNumberFormat="1" applyFont="1" applyFill="1" applyBorder="1" applyAlignment="1">
      <alignment horizontal="right" vertical="center" wrapText="1"/>
    </xf>
    <xf numFmtId="3" fontId="60" fillId="29" borderId="49" xfId="0" applyNumberFormat="1" applyFont="1" applyFill="1" applyBorder="1" applyAlignment="1">
      <alignment horizontal="right" vertical="center" wrapText="1"/>
    </xf>
    <xf numFmtId="0" fontId="60" fillId="0" borderId="34" xfId="0" applyFont="1" applyBorder="1" applyAlignment="1">
      <alignment horizontal="center" vertical="center" wrapText="1"/>
    </xf>
    <xf numFmtId="3" fontId="60" fillId="0" borderId="14" xfId="0" applyNumberFormat="1" applyFont="1" applyBorder="1" applyAlignment="1">
      <alignment horizontal="right" vertical="center" wrapText="1"/>
    </xf>
    <xf numFmtId="3" fontId="60" fillId="0" borderId="24" xfId="0" applyNumberFormat="1" applyFont="1" applyBorder="1" applyAlignment="1">
      <alignment horizontal="right" vertical="center" wrapText="1"/>
    </xf>
    <xf numFmtId="3" fontId="60" fillId="0" borderId="25" xfId="0" applyNumberFormat="1" applyFont="1" applyBorder="1" applyAlignment="1">
      <alignment horizontal="right" vertical="center" wrapText="1"/>
    </xf>
    <xf numFmtId="3" fontId="60" fillId="0" borderId="26" xfId="0" applyNumberFormat="1" applyFont="1" applyBorder="1" applyAlignment="1">
      <alignment horizontal="right" vertical="center" wrapText="1"/>
    </xf>
    <xf numFmtId="3" fontId="57" fillId="27" borderId="36" xfId="0" applyNumberFormat="1" applyFont="1" applyFill="1" applyBorder="1" applyAlignment="1">
      <alignment horizontal="right" vertical="center" wrapText="1"/>
    </xf>
    <xf numFmtId="0" fontId="61" fillId="0" borderId="11" xfId="0" applyFont="1" applyBorder="1" applyAlignment="1">
      <alignment horizontal="right" vertical="center" wrapText="1"/>
    </xf>
    <xf numFmtId="3" fontId="60" fillId="29" borderId="27" xfId="0" applyNumberFormat="1" applyFont="1" applyFill="1" applyBorder="1" applyAlignment="1">
      <alignment horizontal="right" vertical="center" wrapText="1"/>
    </xf>
    <xf numFmtId="0" fontId="62" fillId="28" borderId="30" xfId="0" applyFont="1" applyFill="1" applyBorder="1" applyAlignment="1">
      <alignment horizontal="center" vertical="center" wrapText="1"/>
    </xf>
    <xf numFmtId="3" fontId="62" fillId="28" borderId="11" xfId="0" applyNumberFormat="1" applyFont="1" applyFill="1" applyBorder="1" applyAlignment="1">
      <alignment horizontal="right" vertical="center" wrapText="1"/>
    </xf>
    <xf numFmtId="3" fontId="62" fillId="28" borderId="13" xfId="0" applyNumberFormat="1" applyFont="1" applyFill="1" applyBorder="1" applyAlignment="1">
      <alignment horizontal="right" vertical="center" wrapText="1"/>
    </xf>
    <xf numFmtId="0" fontId="62" fillId="0" borderId="0" xfId="0" applyFont="1" applyAlignment="1">
      <alignment vertical="center" wrapText="1"/>
    </xf>
    <xf numFmtId="0" fontId="62" fillId="27" borderId="41" xfId="0" applyFont="1" applyFill="1" applyBorder="1" applyAlignment="1">
      <alignment horizontal="left" vertical="center" wrapText="1"/>
    </xf>
    <xf numFmtId="3" fontId="62" fillId="27" borderId="41" xfId="0" applyNumberFormat="1" applyFont="1" applyFill="1" applyBorder="1" applyAlignment="1">
      <alignment horizontal="right" vertical="center" wrapText="1"/>
    </xf>
    <xf numFmtId="3" fontId="62" fillId="29" borderId="41" xfId="0" applyNumberFormat="1" applyFont="1" applyFill="1" applyBorder="1" applyAlignment="1">
      <alignment horizontal="right" vertical="center" wrapText="1"/>
    </xf>
    <xf numFmtId="3" fontId="62" fillId="29" borderId="50" xfId="0" applyNumberFormat="1" applyFont="1" applyFill="1" applyBorder="1" applyAlignment="1">
      <alignment horizontal="right" vertical="center" wrapText="1"/>
    </xf>
    <xf numFmtId="0" fontId="62" fillId="27" borderId="11" xfId="0" applyFont="1" applyFill="1" applyBorder="1" applyAlignment="1">
      <alignment horizontal="left" vertical="center" wrapText="1"/>
    </xf>
    <xf numFmtId="3" fontId="62" fillId="27" borderId="11" xfId="0" applyNumberFormat="1" applyFont="1" applyFill="1" applyBorder="1" applyAlignment="1">
      <alignment horizontal="right" vertical="center" wrapText="1"/>
    </xf>
    <xf numFmtId="3" fontId="62" fillId="29" borderId="11" xfId="0" applyNumberFormat="1" applyFont="1" applyFill="1" applyBorder="1" applyAlignment="1">
      <alignment horizontal="right" vertical="center" wrapText="1"/>
    </xf>
    <xf numFmtId="3" fontId="62" fillId="29" borderId="13" xfId="0" applyNumberFormat="1" applyFont="1" applyFill="1" applyBorder="1" applyAlignment="1">
      <alignment horizontal="right" vertical="center" wrapText="1"/>
    </xf>
    <xf numFmtId="0" fontId="62" fillId="27" borderId="22" xfId="0" applyFont="1" applyFill="1" applyBorder="1" applyAlignment="1">
      <alignment horizontal="left" vertical="center" wrapText="1"/>
    </xf>
    <xf numFmtId="3" fontId="62" fillId="27" borderId="22" xfId="0" applyNumberFormat="1" applyFont="1" applyFill="1" applyBorder="1" applyAlignment="1">
      <alignment horizontal="right" vertical="center" wrapText="1"/>
    </xf>
    <xf numFmtId="0" fontId="82" fillId="0" borderId="34" xfId="0" applyFont="1" applyBorder="1" applyAlignment="1">
      <alignment horizontal="center" vertical="center" wrapText="1"/>
    </xf>
    <xf numFmtId="0" fontId="82" fillId="0" borderId="14" xfId="0" applyFont="1" applyBorder="1" applyAlignment="1">
      <alignment vertical="center" wrapText="1"/>
    </xf>
    <xf numFmtId="0" fontId="82" fillId="0" borderId="14" xfId="0" applyFont="1" applyBorder="1" applyAlignment="1">
      <alignment horizontal="center" vertical="center" wrapText="1"/>
    </xf>
    <xf numFmtId="3" fontId="82" fillId="0" borderId="14" xfId="0" applyNumberFormat="1" applyFont="1" applyBorder="1" applyAlignment="1">
      <alignment horizontal="right" vertical="center" wrapText="1"/>
    </xf>
    <xf numFmtId="3" fontId="82" fillId="0" borderId="24" xfId="0" applyNumberFormat="1" applyFont="1" applyBorder="1" applyAlignment="1">
      <alignment horizontal="right" vertical="center" wrapText="1"/>
    </xf>
    <xf numFmtId="0" fontId="82" fillId="0" borderId="0" xfId="0" applyFont="1" applyAlignment="1">
      <alignment vertical="center" wrapText="1"/>
    </xf>
    <xf numFmtId="0" fontId="82" fillId="0" borderId="12" xfId="0" applyFont="1" applyBorder="1" applyAlignment="1">
      <alignment horizontal="center" vertical="center" wrapText="1"/>
    </xf>
    <xf numFmtId="0" fontId="82" fillId="0" borderId="11" xfId="0" applyFont="1" applyBorder="1" applyAlignment="1">
      <alignment vertical="center" wrapText="1"/>
    </xf>
    <xf numFmtId="0" fontId="82" fillId="0" borderId="11" xfId="0" applyFont="1" applyBorder="1" applyAlignment="1">
      <alignment horizontal="center" vertical="center" wrapText="1"/>
    </xf>
    <xf numFmtId="3" fontId="82" fillId="0" borderId="11" xfId="0" applyNumberFormat="1" applyFont="1" applyBorder="1" applyAlignment="1">
      <alignment horizontal="right" vertical="center" wrapText="1"/>
    </xf>
    <xf numFmtId="3" fontId="82" fillId="0" borderId="13" xfId="0" applyNumberFormat="1" applyFont="1" applyBorder="1" applyAlignment="1">
      <alignment horizontal="right" vertical="center" wrapText="1"/>
    </xf>
    <xf numFmtId="0" fontId="83" fillId="0" borderId="12" xfId="0" applyFont="1" applyBorder="1" applyAlignment="1">
      <alignment horizontal="center" vertical="center" wrapText="1"/>
    </xf>
    <xf numFmtId="0" fontId="83" fillId="0" borderId="11" xfId="0" applyFont="1" applyBorder="1" applyAlignment="1">
      <alignment vertical="center" wrapText="1"/>
    </xf>
    <xf numFmtId="0" fontId="83" fillId="0" borderId="11" xfId="0" applyFont="1" applyBorder="1" applyAlignment="1">
      <alignment horizontal="center" vertical="center" wrapText="1"/>
    </xf>
    <xf numFmtId="3" fontId="83" fillId="0" borderId="11" xfId="0" applyNumberFormat="1" applyFont="1" applyBorder="1" applyAlignment="1">
      <alignment horizontal="right" vertical="center" wrapText="1"/>
    </xf>
    <xf numFmtId="3" fontId="83" fillId="0" borderId="13" xfId="0" applyNumberFormat="1" applyFont="1" applyBorder="1" applyAlignment="1">
      <alignment horizontal="right" vertical="center" wrapText="1"/>
    </xf>
    <xf numFmtId="0" fontId="83" fillId="0" borderId="0" xfId="0" applyFont="1" applyAlignment="1">
      <alignment vertical="center" wrapText="1"/>
    </xf>
    <xf numFmtId="0" fontId="52" fillId="0" borderId="12" xfId="0" applyFont="1" applyBorder="1" applyAlignment="1">
      <alignment horizontal="center" vertical="center" wrapText="1"/>
    </xf>
    <xf numFmtId="0" fontId="52" fillId="0" borderId="11" xfId="0" applyFont="1" applyBorder="1" applyAlignment="1">
      <alignment vertical="center" wrapText="1"/>
    </xf>
    <xf numFmtId="0" fontId="52" fillId="0" borderId="11" xfId="0" applyFont="1" applyBorder="1" applyAlignment="1">
      <alignment horizontal="center" vertical="center" wrapText="1"/>
    </xf>
    <xf numFmtId="3" fontId="52" fillId="0" borderId="11" xfId="0" applyNumberFormat="1" applyFont="1" applyBorder="1" applyAlignment="1">
      <alignment horizontal="right" vertical="center" wrapText="1"/>
    </xf>
    <xf numFmtId="3" fontId="52" fillId="0" borderId="13" xfId="0" applyNumberFormat="1" applyFont="1" applyBorder="1" applyAlignment="1">
      <alignment horizontal="right" vertical="center" wrapText="1"/>
    </xf>
    <xf numFmtId="0" fontId="52" fillId="0" borderId="0" xfId="0" applyFont="1" applyAlignment="1">
      <alignment vertical="center" wrapText="1"/>
    </xf>
    <xf numFmtId="0" fontId="63" fillId="0" borderId="12" xfId="0" applyFont="1" applyBorder="1" applyAlignment="1">
      <alignment horizontal="center" vertical="center" wrapText="1"/>
    </xf>
    <xf numFmtId="0" fontId="63" fillId="0" borderId="11" xfId="0" applyFont="1" applyBorder="1" applyAlignment="1">
      <alignment vertical="center" wrapText="1"/>
    </xf>
    <xf numFmtId="0" fontId="63" fillId="0" borderId="11" xfId="0" applyFont="1" applyBorder="1" applyAlignment="1">
      <alignment horizontal="center" vertical="center" wrapText="1"/>
    </xf>
    <xf numFmtId="3" fontId="63" fillId="0" borderId="11" xfId="0" applyNumberFormat="1" applyFont="1" applyBorder="1" applyAlignment="1">
      <alignment horizontal="right" vertical="center" wrapText="1"/>
    </xf>
    <xf numFmtId="3" fontId="63" fillId="0" borderId="13" xfId="0" applyNumberFormat="1" applyFont="1" applyBorder="1" applyAlignment="1">
      <alignment horizontal="right" vertical="center" wrapText="1"/>
    </xf>
    <xf numFmtId="0" fontId="63" fillId="0" borderId="0" xfId="0" applyFont="1" applyAlignment="1">
      <alignment vertical="center" wrapText="1"/>
    </xf>
    <xf numFmtId="0" fontId="62" fillId="27" borderId="12" xfId="0" applyFont="1" applyFill="1" applyBorder="1" applyAlignment="1">
      <alignment horizontal="center" vertical="center" wrapText="1"/>
    </xf>
    <xf numFmtId="0" fontId="63" fillId="0" borderId="11" xfId="0" applyFont="1" applyBorder="1" applyAlignment="1">
      <alignment horizontal="right" vertical="center" wrapText="1"/>
    </xf>
    <xf numFmtId="0" fontId="52" fillId="0" borderId="11" xfId="0" applyFont="1" applyBorder="1" applyAlignment="1">
      <alignment horizontal="right" vertical="center" wrapText="1"/>
    </xf>
    <xf numFmtId="0" fontId="84" fillId="0" borderId="12" xfId="0" applyFont="1" applyBorder="1" applyAlignment="1">
      <alignment horizontal="center" vertical="center" wrapText="1"/>
    </xf>
    <xf numFmtId="0" fontId="84" fillId="0" borderId="11" xfId="0" applyFont="1" applyBorder="1" applyAlignment="1">
      <alignment vertical="center" wrapText="1"/>
    </xf>
    <xf numFmtId="0" fontId="84" fillId="0" borderId="11" xfId="0" applyFont="1" applyBorder="1" applyAlignment="1">
      <alignment horizontal="center" vertical="center" wrapText="1"/>
    </xf>
    <xf numFmtId="0" fontId="84" fillId="0" borderId="11" xfId="0" applyFont="1" applyBorder="1" applyAlignment="1">
      <alignment horizontal="right" vertical="center" wrapText="1"/>
    </xf>
    <xf numFmtId="3" fontId="84" fillId="0" borderId="11" xfId="0" applyNumberFormat="1" applyFont="1" applyBorder="1" applyAlignment="1">
      <alignment horizontal="right" vertical="center" wrapText="1"/>
    </xf>
    <xf numFmtId="3" fontId="84" fillId="0" borderId="13" xfId="0" applyNumberFormat="1" applyFont="1" applyBorder="1" applyAlignment="1">
      <alignment horizontal="right" vertical="center" wrapText="1"/>
    </xf>
    <xf numFmtId="0" fontId="84" fillId="0" borderId="0" xfId="0" applyFont="1" applyAlignment="1">
      <alignment vertical="center" wrapText="1"/>
    </xf>
    <xf numFmtId="0" fontId="85" fillId="0" borderId="12" xfId="0" applyFont="1" applyBorder="1" applyAlignment="1">
      <alignment horizontal="center" vertical="center" wrapText="1"/>
    </xf>
    <xf numFmtId="0" fontId="85" fillId="0" borderId="11" xfId="0" applyFont="1" applyBorder="1" applyAlignment="1">
      <alignment vertical="center" wrapText="1"/>
    </xf>
    <xf numFmtId="0" fontId="85" fillId="0" borderId="11" xfId="0" applyFont="1" applyBorder="1" applyAlignment="1">
      <alignment horizontal="center" vertical="center" wrapText="1"/>
    </xf>
    <xf numFmtId="0" fontId="85" fillId="0" borderId="11" xfId="0" applyFont="1" applyBorder="1" applyAlignment="1">
      <alignment horizontal="right" vertical="center" wrapText="1"/>
    </xf>
    <xf numFmtId="3" fontId="85" fillId="0" borderId="11" xfId="0" applyNumberFormat="1" applyFont="1" applyBorder="1" applyAlignment="1">
      <alignment horizontal="right" vertical="center" wrapText="1"/>
    </xf>
    <xf numFmtId="3" fontId="85" fillId="0" borderId="13" xfId="0" applyNumberFormat="1" applyFont="1" applyBorder="1" applyAlignment="1">
      <alignment horizontal="right" vertical="center" wrapText="1"/>
    </xf>
    <xf numFmtId="0" fontId="85" fillId="0" borderId="0" xfId="0" applyFont="1" applyAlignment="1">
      <alignment vertical="center" wrapText="1"/>
    </xf>
    <xf numFmtId="0" fontId="82" fillId="0" borderId="21" xfId="0" applyFont="1" applyBorder="1" applyAlignment="1">
      <alignment horizontal="center" vertical="center" wrapText="1"/>
    </xf>
    <xf numFmtId="0" fontId="82" fillId="0" borderId="22" xfId="0" applyFont="1" applyBorder="1" applyAlignment="1">
      <alignment vertical="center" wrapText="1"/>
    </xf>
    <xf numFmtId="0" fontId="82" fillId="0" borderId="22" xfId="0" applyFont="1" applyBorder="1" applyAlignment="1">
      <alignment horizontal="center" vertical="center" wrapText="1"/>
    </xf>
    <xf numFmtId="3" fontId="82" fillId="0" borderId="22" xfId="0" applyNumberFormat="1" applyFont="1" applyBorder="1" applyAlignment="1">
      <alignment horizontal="right" vertical="center" wrapText="1"/>
    </xf>
    <xf numFmtId="0" fontId="62" fillId="27" borderId="46" xfId="0" applyFont="1" applyFill="1" applyBorder="1" applyAlignment="1">
      <alignment horizontal="center" vertical="center" wrapText="1"/>
    </xf>
    <xf numFmtId="0" fontId="62" fillId="27" borderId="61" xfId="0" applyFont="1" applyFill="1" applyBorder="1" applyAlignment="1">
      <alignment horizontal="left" vertical="center" wrapText="1"/>
    </xf>
    <xf numFmtId="3" fontId="62" fillId="27" borderId="61" xfId="0" applyNumberFormat="1" applyFont="1" applyFill="1" applyBorder="1" applyAlignment="1">
      <alignment horizontal="right" vertical="center" wrapText="1"/>
    </xf>
    <xf numFmtId="3" fontId="52" fillId="29" borderId="61" xfId="0" applyNumberFormat="1" applyFont="1" applyFill="1" applyBorder="1" applyAlignment="1">
      <alignment horizontal="right" vertical="center" wrapText="1"/>
    </xf>
    <xf numFmtId="3" fontId="52" fillId="29" borderId="62" xfId="0" applyNumberFormat="1" applyFont="1" applyFill="1" applyBorder="1" applyAlignment="1">
      <alignment horizontal="right" vertical="center" wrapText="1"/>
    </xf>
    <xf numFmtId="0" fontId="52" fillId="0" borderId="32" xfId="0" applyFont="1" applyBorder="1" applyAlignment="1">
      <alignment horizontal="center" vertical="center" wrapText="1"/>
    </xf>
    <xf numFmtId="3" fontId="62" fillId="28" borderId="41" xfId="0" applyNumberFormat="1" applyFont="1" applyFill="1" applyBorder="1" applyAlignment="1">
      <alignment horizontal="right" vertical="center" wrapText="1"/>
    </xf>
    <xf numFmtId="3" fontId="62" fillId="28" borderId="50" xfId="0" applyNumberFormat="1" applyFont="1" applyFill="1" applyBorder="1" applyAlignment="1">
      <alignment horizontal="right" vertical="center" wrapText="1"/>
    </xf>
    <xf numFmtId="0" fontId="62" fillId="27" borderId="41" xfId="0" applyFont="1" applyFill="1" applyBorder="1" applyAlignment="1">
      <alignment horizontal="center" vertical="center" wrapText="1"/>
    </xf>
    <xf numFmtId="0" fontId="62" fillId="27" borderId="11" xfId="0" applyFont="1" applyFill="1" applyBorder="1" applyAlignment="1">
      <alignment horizontal="center" vertical="center" wrapText="1"/>
    </xf>
    <xf numFmtId="0" fontId="62" fillId="27" borderId="22" xfId="0" applyFont="1" applyFill="1" applyBorder="1" applyAlignment="1">
      <alignment horizontal="center" vertical="center" wrapText="1"/>
    </xf>
    <xf numFmtId="3" fontId="62" fillId="29" borderId="22" xfId="0" applyNumberFormat="1" applyFont="1" applyFill="1" applyBorder="1" applyAlignment="1">
      <alignment horizontal="right" vertical="center" wrapText="1"/>
    </xf>
    <xf numFmtId="3" fontId="62" fillId="29" borderId="20" xfId="0" applyNumberFormat="1" applyFont="1" applyFill="1" applyBorder="1" applyAlignment="1">
      <alignment horizontal="right" vertical="center" wrapText="1"/>
    </xf>
    <xf numFmtId="0" fontId="82" fillId="0" borderId="45" xfId="0" applyFont="1" applyBorder="1" applyAlignment="1">
      <alignment horizontal="center" vertical="center" wrapText="1"/>
    </xf>
    <xf numFmtId="0" fontId="82" fillId="0" borderId="47" xfId="0" applyFont="1" applyBorder="1" applyAlignment="1">
      <alignment vertical="center" wrapText="1"/>
    </xf>
    <xf numFmtId="0" fontId="82" fillId="0" borderId="47" xfId="0" applyFont="1" applyBorder="1" applyAlignment="1">
      <alignment horizontal="center" vertical="center" wrapText="1"/>
    </xf>
    <xf numFmtId="3" fontId="82" fillId="0" borderId="47" xfId="0" applyNumberFormat="1" applyFont="1" applyBorder="1" applyAlignment="1">
      <alignment horizontal="right" vertical="center" wrapText="1"/>
    </xf>
    <xf numFmtId="0" fontId="62" fillId="27" borderId="29" xfId="0" applyFont="1" applyFill="1" applyBorder="1" applyAlignment="1">
      <alignment horizontal="center" vertical="center" wrapText="1"/>
    </xf>
    <xf numFmtId="0" fontId="62" fillId="27" borderId="38" xfId="0" applyFont="1" applyFill="1" applyBorder="1" applyAlignment="1">
      <alignment horizontal="left" vertical="center" wrapText="1"/>
    </xf>
    <xf numFmtId="3" fontId="62" fillId="27" borderId="38" xfId="0" applyNumberFormat="1" applyFont="1" applyFill="1" applyBorder="1" applyAlignment="1">
      <alignment horizontal="right" vertical="center" wrapText="1"/>
    </xf>
    <xf numFmtId="3" fontId="52" fillId="29" borderId="38" xfId="0" applyNumberFormat="1" applyFont="1" applyFill="1" applyBorder="1" applyAlignment="1">
      <alignment horizontal="right" vertical="center" wrapText="1"/>
    </xf>
    <xf numFmtId="3" fontId="52" fillId="29" borderId="31" xfId="0" applyNumberFormat="1" applyFont="1" applyFill="1" applyBorder="1" applyAlignment="1">
      <alignment horizontal="right" vertical="center" wrapText="1"/>
    </xf>
    <xf numFmtId="0" fontId="52" fillId="0" borderId="30" xfId="0" applyFont="1" applyBorder="1" applyAlignment="1">
      <alignment horizontal="center" vertical="center" wrapText="1"/>
    </xf>
    <xf numFmtId="0" fontId="52" fillId="0" borderId="29" xfId="0" applyFont="1" applyBorder="1" applyAlignment="1">
      <alignment horizontal="center" vertical="center" wrapText="1"/>
    </xf>
    <xf numFmtId="0" fontId="52" fillId="0" borderId="63" xfId="0" applyFont="1" applyBorder="1" applyAlignment="1">
      <alignment horizontal="center" vertical="center" wrapText="1"/>
    </xf>
    <xf numFmtId="173" fontId="60" fillId="0" borderId="22" xfId="0" applyNumberFormat="1" applyFont="1" applyBorder="1" applyAlignment="1">
      <alignment horizontal="right" vertical="center" wrapText="1"/>
    </xf>
    <xf numFmtId="3" fontId="60" fillId="0" borderId="37" xfId="0" applyNumberFormat="1" applyFont="1" applyBorder="1" applyAlignment="1">
      <alignment horizontal="right" vertical="center" wrapText="1"/>
    </xf>
    <xf numFmtId="3" fontId="60" fillId="0" borderId="20" xfId="0" applyNumberFormat="1" applyFont="1" applyBorder="1" applyAlignment="1">
      <alignment horizontal="right" vertical="center" wrapText="1"/>
    </xf>
    <xf numFmtId="173" fontId="57" fillId="27" borderId="14" xfId="0" applyNumberFormat="1" applyFont="1" applyFill="1" applyBorder="1" applyAlignment="1">
      <alignment horizontal="right" vertical="center" wrapText="1"/>
    </xf>
    <xf numFmtId="0" fontId="61" fillId="0" borderId="21" xfId="0" applyFont="1" applyBorder="1" applyAlignment="1">
      <alignment horizontal="center" vertical="center" wrapText="1"/>
    </xf>
    <xf numFmtId="0" fontId="61" fillId="0" borderId="22" xfId="0" applyFont="1" applyBorder="1" applyAlignment="1">
      <alignment vertical="center" wrapText="1"/>
    </xf>
    <xf numFmtId="0" fontId="61" fillId="0" borderId="22" xfId="0" applyFont="1" applyBorder="1" applyAlignment="1">
      <alignment horizontal="center" vertical="center" wrapText="1"/>
    </xf>
    <xf numFmtId="173" fontId="61" fillId="0" borderId="22" xfId="0" applyNumberFormat="1" applyFont="1" applyBorder="1" applyAlignment="1">
      <alignment horizontal="right" vertical="center" wrapText="1"/>
    </xf>
    <xf numFmtId="3" fontId="61" fillId="0" borderId="22" xfId="0" applyNumberFormat="1" applyFont="1" applyBorder="1" applyAlignment="1">
      <alignment horizontal="right" vertical="center" wrapText="1"/>
    </xf>
    <xf numFmtId="3" fontId="61" fillId="0" borderId="37" xfId="0" applyNumberFormat="1" applyFont="1" applyBorder="1" applyAlignment="1">
      <alignment horizontal="right" vertical="center" wrapText="1"/>
    </xf>
    <xf numFmtId="3" fontId="61" fillId="0" borderId="20" xfId="0" applyNumberFormat="1" applyFont="1" applyBorder="1" applyAlignment="1">
      <alignment horizontal="right" vertical="center" wrapText="1"/>
    </xf>
    <xf numFmtId="3" fontId="60" fillId="0" borderId="40" xfId="0" applyNumberFormat="1" applyFont="1" applyBorder="1" applyAlignment="1">
      <alignment horizontal="right" vertical="center" wrapText="1"/>
    </xf>
    <xf numFmtId="3" fontId="60" fillId="0" borderId="0" xfId="0" applyNumberFormat="1" applyFont="1" applyAlignment="1">
      <alignment horizontal="right" vertical="center" wrapText="1"/>
    </xf>
    <xf numFmtId="0" fontId="37" fillId="27" borderId="38" xfId="0" applyFont="1" applyFill="1" applyBorder="1" applyAlignment="1">
      <alignment horizontal="center" vertical="center" wrapText="1"/>
    </xf>
    <xf numFmtId="3" fontId="30" fillId="24" borderId="38" xfId="0" applyNumberFormat="1" applyFont="1" applyFill="1" applyBorder="1" applyAlignment="1">
      <alignment horizontal="center" vertical="center" wrapText="1"/>
    </xf>
    <xf numFmtId="4" fontId="86" fillId="24" borderId="38" xfId="0" applyNumberFormat="1" applyFont="1" applyFill="1" applyBorder="1" applyAlignment="1">
      <alignment horizontal="center" vertical="center" wrapText="1"/>
    </xf>
    <xf numFmtId="0" fontId="33" fillId="29" borderId="38" xfId="0" applyFont="1" applyFill="1" applyBorder="1" applyAlignment="1">
      <alignment horizontal="center" vertical="center" wrapText="1"/>
    </xf>
    <xf numFmtId="0" fontId="33" fillId="29" borderId="38" xfId="0" applyFont="1" applyFill="1" applyBorder="1" applyAlignment="1">
      <alignment vertical="center" wrapText="1"/>
    </xf>
    <xf numFmtId="0" fontId="47" fillId="29" borderId="38" xfId="0" applyFont="1" applyFill="1" applyBorder="1" applyAlignment="1">
      <alignment horizontal="right" vertical="center" wrapText="1"/>
    </xf>
    <xf numFmtId="0" fontId="28" fillId="34" borderId="38" xfId="0" applyFont="1" applyFill="1" applyBorder="1" applyAlignment="1">
      <alignment horizontal="center" vertical="center" wrapText="1"/>
    </xf>
    <xf numFmtId="0" fontId="28" fillId="34" borderId="38" xfId="0" applyFont="1" applyFill="1" applyBorder="1" applyAlignment="1">
      <alignment horizontal="justify" vertical="center" wrapText="1"/>
    </xf>
    <xf numFmtId="3" fontId="28" fillId="34" borderId="38" xfId="0" applyNumberFormat="1" applyFont="1" applyFill="1" applyBorder="1" applyAlignment="1">
      <alignment horizontal="right" vertical="center"/>
    </xf>
    <xf numFmtId="173" fontId="28" fillId="34" borderId="38" xfId="0" applyNumberFormat="1" applyFont="1" applyFill="1" applyBorder="1" applyAlignment="1">
      <alignment horizontal="right" vertical="center" wrapText="1"/>
    </xf>
    <xf numFmtId="165" fontId="30" fillId="34" borderId="38" xfId="261" applyNumberFormat="1" applyFont="1" applyFill="1" applyBorder="1" applyAlignment="1">
      <alignment horizontal="right" vertical="center" wrapText="1"/>
    </xf>
    <xf numFmtId="0" fontId="28" fillId="0" borderId="38" xfId="0" applyFont="1" applyBorder="1" applyAlignment="1">
      <alignment horizontal="center" vertical="center" wrapText="1"/>
    </xf>
    <xf numFmtId="0" fontId="28" fillId="0" borderId="38" xfId="0" applyFont="1" applyBorder="1" applyAlignment="1">
      <alignment horizontal="justify" vertical="center" wrapText="1"/>
    </xf>
    <xf numFmtId="165" fontId="28" fillId="0" borderId="38" xfId="261" applyNumberFormat="1" applyFont="1" applyBorder="1" applyAlignment="1">
      <alignment horizontal="right" vertical="center"/>
    </xf>
    <xf numFmtId="3" fontId="28" fillId="0" borderId="38" xfId="0" applyNumberFormat="1" applyFont="1" applyBorder="1" applyAlignment="1">
      <alignment horizontal="right" vertical="center"/>
    </xf>
    <xf numFmtId="0" fontId="30" fillId="29" borderId="38" xfId="0" applyFont="1" applyFill="1" applyBorder="1" applyAlignment="1">
      <alignment horizontal="center" vertical="center" wrapText="1"/>
    </xf>
    <xf numFmtId="0" fontId="30" fillId="29" borderId="38" xfId="0" applyFont="1" applyFill="1" applyBorder="1" applyAlignment="1">
      <alignment vertical="center" wrapText="1"/>
    </xf>
    <xf numFmtId="0" fontId="35" fillId="29" borderId="38" xfId="0" applyFont="1" applyFill="1" applyBorder="1" applyAlignment="1">
      <alignment horizontal="right" vertical="center" wrapText="1"/>
    </xf>
    <xf numFmtId="173" fontId="28" fillId="0" borderId="38" xfId="0" applyNumberFormat="1" applyFont="1" applyBorder="1" applyAlignment="1">
      <alignment horizontal="right" vertical="center" wrapText="1"/>
    </xf>
    <xf numFmtId="0" fontId="30" fillId="34" borderId="38" xfId="0" applyFont="1" applyFill="1" applyBorder="1" applyAlignment="1">
      <alignment horizontal="justify" vertical="center" wrapText="1"/>
    </xf>
    <xf numFmtId="4" fontId="28" fillId="34" borderId="38" xfId="0" applyNumberFormat="1" applyFont="1" applyFill="1" applyBorder="1" applyAlignment="1">
      <alignment horizontal="center" vertical="center" wrapText="1"/>
    </xf>
    <xf numFmtId="0" fontId="28" fillId="34" borderId="38" xfId="0" applyFont="1" applyFill="1" applyBorder="1" applyAlignment="1">
      <alignment horizontal="center" vertical="center"/>
    </xf>
    <xf numFmtId="4" fontId="28" fillId="34" borderId="38" xfId="0" applyNumberFormat="1" applyFont="1" applyFill="1" applyBorder="1" applyAlignment="1">
      <alignment horizontal="center" vertical="center"/>
    </xf>
    <xf numFmtId="173" fontId="28" fillId="34" borderId="38" xfId="0" applyNumberFormat="1" applyFont="1" applyFill="1" applyBorder="1" applyAlignment="1">
      <alignment horizontal="center" vertical="center"/>
    </xf>
    <xf numFmtId="4" fontId="69" fillId="0" borderId="38" xfId="0" applyNumberFormat="1" applyFont="1" applyBorder="1" applyAlignment="1">
      <alignment horizontal="center" vertical="center" wrapText="1"/>
    </xf>
    <xf numFmtId="0" fontId="30" fillId="0" borderId="38" xfId="0" applyFont="1" applyBorder="1" applyAlignment="1">
      <alignment horizontal="justify" vertical="center" wrapText="1"/>
    </xf>
    <xf numFmtId="4" fontId="28" fillId="0" borderId="38" xfId="0" applyNumberFormat="1" applyFont="1" applyBorder="1" applyAlignment="1">
      <alignment horizontal="center" vertical="center" wrapText="1"/>
    </xf>
    <xf numFmtId="165" fontId="28" fillId="0" borderId="38" xfId="261" applyNumberFormat="1" applyFont="1" applyFill="1" applyBorder="1" applyAlignment="1">
      <alignment horizontal="right" vertical="center"/>
    </xf>
    <xf numFmtId="4" fontId="28" fillId="0" borderId="38" xfId="0" applyNumberFormat="1" applyFont="1" applyBorder="1" applyAlignment="1">
      <alignment horizontal="center" vertical="center"/>
    </xf>
    <xf numFmtId="0" fontId="28" fillId="0" borderId="23" xfId="0" applyFont="1" applyBorder="1" applyAlignment="1">
      <alignment horizontal="center" vertical="center" wrapText="1"/>
    </xf>
    <xf numFmtId="0" fontId="28" fillId="0" borderId="23" xfId="0" applyFont="1" applyBorder="1" applyAlignment="1">
      <alignment horizontal="justify" vertical="center" wrapText="1"/>
    </xf>
    <xf numFmtId="165" fontId="28" fillId="0" borderId="23" xfId="261" applyNumberFormat="1" applyFont="1" applyBorder="1" applyAlignment="1">
      <alignment horizontal="right" vertical="center"/>
    </xf>
    <xf numFmtId="4" fontId="69" fillId="0" borderId="23" xfId="0" applyNumberFormat="1" applyFont="1" applyBorder="1" applyAlignment="1">
      <alignment horizontal="center" vertical="center" wrapText="1"/>
    </xf>
    <xf numFmtId="3" fontId="28" fillId="0" borderId="23" xfId="0" applyNumberFormat="1" applyFont="1" applyBorder="1" applyAlignment="1">
      <alignment horizontal="right" vertical="center"/>
    </xf>
    <xf numFmtId="173" fontId="28" fillId="0" borderId="38" xfId="0" applyNumberFormat="1" applyFont="1" applyBorder="1" applyAlignment="1">
      <alignment horizontal="center" vertical="center" wrapText="1"/>
    </xf>
    <xf numFmtId="4" fontId="28" fillId="0" borderId="38" xfId="0" applyNumberFormat="1" applyFont="1" applyBorder="1" applyAlignment="1">
      <alignment horizontal="right" vertical="center" wrapText="1"/>
    </xf>
    <xf numFmtId="174" fontId="28" fillId="0" borderId="38" xfId="261" applyNumberFormat="1" applyFont="1" applyBorder="1" applyAlignment="1">
      <alignment horizontal="center" vertical="center" wrapText="1"/>
    </xf>
    <xf numFmtId="173" fontId="69" fillId="0" borderId="38" xfId="0" applyNumberFormat="1" applyFont="1" applyBorder="1" applyAlignment="1">
      <alignment horizontal="center" vertical="center" wrapText="1"/>
    </xf>
    <xf numFmtId="0" fontId="33" fillId="0" borderId="64" xfId="0" applyFont="1" applyBorder="1" applyAlignment="1">
      <alignment vertical="center" wrapText="1"/>
    </xf>
    <xf numFmtId="0" fontId="35" fillId="0" borderId="64" xfId="0" applyFont="1" applyBorder="1" applyAlignment="1">
      <alignment vertical="center"/>
    </xf>
    <xf numFmtId="0" fontId="28" fillId="0" borderId="64" xfId="0" applyFont="1" applyBorder="1" applyAlignment="1">
      <alignment vertical="center"/>
    </xf>
    <xf numFmtId="0" fontId="30" fillId="0" borderId="64" xfId="0" applyFont="1" applyBorder="1" applyAlignment="1">
      <alignment vertical="center"/>
    </xf>
    <xf numFmtId="0" fontId="37" fillId="0" borderId="0" xfId="0" applyFont="1" applyAlignment="1">
      <alignment horizontal="left"/>
    </xf>
    <xf numFmtId="49" fontId="37" fillId="0" borderId="0" xfId="0" applyNumberFormat="1" applyFont="1" applyAlignment="1">
      <alignment horizontal="center"/>
    </xf>
    <xf numFmtId="0" fontId="37" fillId="0" borderId="0" xfId="0" applyFont="1" applyAlignment="1">
      <alignment horizontal="center" vertical="distributed"/>
    </xf>
    <xf numFmtId="3" fontId="37" fillId="0" borderId="0" xfId="0" applyNumberFormat="1" applyFont="1" applyAlignment="1">
      <alignment horizontal="center"/>
    </xf>
    <xf numFmtId="49" fontId="37" fillId="28" borderId="38" xfId="0" applyNumberFormat="1" applyFont="1" applyFill="1" applyBorder="1" applyAlignment="1">
      <alignment horizontal="center" vertical="center" wrapText="1"/>
    </xf>
    <xf numFmtId="0" fontId="36" fillId="34" borderId="38" xfId="0" applyFont="1" applyFill="1" applyBorder="1" applyAlignment="1">
      <alignment horizontal="center" vertical="center" wrapText="1"/>
    </xf>
    <xf numFmtId="0" fontId="36" fillId="34" borderId="38" xfId="0" applyFont="1" applyFill="1" applyBorder="1" applyAlignment="1">
      <alignment vertical="center" wrapText="1"/>
    </xf>
    <xf numFmtId="3" fontId="36" fillId="34" borderId="38" xfId="0" applyNumberFormat="1" applyFont="1" applyFill="1" applyBorder="1" applyAlignment="1">
      <alignment horizontal="right" vertical="center" wrapText="1"/>
    </xf>
    <xf numFmtId="0" fontId="36" fillId="34" borderId="38" xfId="0" applyFont="1" applyFill="1" applyBorder="1" applyAlignment="1">
      <alignment horizontal="left" vertical="center" wrapText="1"/>
    </xf>
    <xf numFmtId="173" fontId="36" fillId="34" borderId="38" xfId="0" applyNumberFormat="1" applyFont="1" applyFill="1" applyBorder="1" applyAlignment="1">
      <alignment horizontal="right" vertical="center" wrapText="1"/>
    </xf>
    <xf numFmtId="173" fontId="36" fillId="0" borderId="38" xfId="0" applyNumberFormat="1" applyFont="1" applyBorder="1" applyAlignment="1">
      <alignment horizontal="right" vertical="center" wrapText="1"/>
    </xf>
    <xf numFmtId="173" fontId="37" fillId="27" borderId="38" xfId="0" applyNumberFormat="1" applyFont="1" applyFill="1" applyBorder="1" applyAlignment="1">
      <alignment horizontal="right" vertical="center" wrapText="1"/>
    </xf>
    <xf numFmtId="0" fontId="36" fillId="34" borderId="38" xfId="0" applyFont="1" applyFill="1" applyBorder="1" applyAlignment="1">
      <alignment horizontal="right" vertical="center" wrapText="1"/>
    </xf>
    <xf numFmtId="3" fontId="37" fillId="0" borderId="0" xfId="0" applyNumberFormat="1" applyFont="1" applyAlignment="1">
      <alignment horizontal="center" vertical="center"/>
    </xf>
    <xf numFmtId="0" fontId="37" fillId="27" borderId="65" xfId="0" applyFont="1" applyFill="1" applyBorder="1" applyAlignment="1">
      <alignment horizontal="left" vertical="center" wrapText="1"/>
    </xf>
    <xf numFmtId="0" fontId="37" fillId="27" borderId="66" xfId="0" applyFont="1" applyFill="1" applyBorder="1" applyAlignment="1">
      <alignment horizontal="left" vertical="center" wrapText="1"/>
    </xf>
    <xf numFmtId="0" fontId="37" fillId="28" borderId="67" xfId="0" applyFont="1" applyFill="1" applyBorder="1" applyAlignment="1">
      <alignment vertical="center" wrapText="1"/>
    </xf>
    <xf numFmtId="0" fontId="37" fillId="28" borderId="4" xfId="0" applyFont="1" applyFill="1" applyBorder="1" applyAlignment="1">
      <alignment vertical="center" wrapText="1"/>
    </xf>
    <xf numFmtId="0" fontId="37" fillId="27" borderId="68" xfId="0" applyFont="1" applyFill="1" applyBorder="1" applyAlignment="1">
      <alignment horizontal="left" vertical="center" wrapText="1"/>
    </xf>
    <xf numFmtId="0" fontId="37" fillId="28" borderId="52" xfId="0" applyFont="1" applyFill="1" applyBorder="1" applyAlignment="1">
      <alignment vertical="center" wrapText="1"/>
    </xf>
    <xf numFmtId="0" fontId="37" fillId="27" borderId="28" xfId="0" applyFont="1" applyFill="1" applyBorder="1" applyAlignment="1">
      <alignment horizontal="left" vertical="center" wrapText="1"/>
    </xf>
    <xf numFmtId="0" fontId="64" fillId="0" borderId="38" xfId="411" applyFont="1" applyBorder="1" applyAlignment="1">
      <alignment vertical="center"/>
    </xf>
    <xf numFmtId="0" fontId="28" fillId="34" borderId="0" xfId="0" applyFont="1" applyFill="1"/>
    <xf numFmtId="165" fontId="87" fillId="0" borderId="38" xfId="263" applyNumberFormat="1" applyFont="1" applyFill="1" applyBorder="1" applyAlignment="1">
      <alignment horizontal="center" vertical="center"/>
    </xf>
    <xf numFmtId="0" fontId="28" fillId="0" borderId="38" xfId="0" applyFont="1" applyBorder="1" applyAlignment="1">
      <alignment horizontal="center"/>
    </xf>
    <xf numFmtId="0" fontId="28" fillId="0" borderId="38" xfId="0" applyFont="1" applyBorder="1"/>
    <xf numFmtId="0" fontId="28" fillId="34" borderId="38" xfId="0" applyFont="1" applyFill="1" applyBorder="1" applyAlignment="1">
      <alignment horizontal="center"/>
    </xf>
    <xf numFmtId="0" fontId="0" fillId="0" borderId="38" xfId="0" applyBorder="1"/>
    <xf numFmtId="165" fontId="64" fillId="0" borderId="38" xfId="263" applyNumberFormat="1" applyFont="1" applyBorder="1" applyAlignment="1">
      <alignment horizontal="center" vertical="center"/>
    </xf>
    <xf numFmtId="0" fontId="64" fillId="0" borderId="38" xfId="0" applyFont="1" applyBorder="1" applyAlignment="1">
      <alignment vertical="center"/>
    </xf>
    <xf numFmtId="3" fontId="73" fillId="34" borderId="38" xfId="0" applyNumberFormat="1" applyFont="1" applyFill="1" applyBorder="1" applyAlignment="1">
      <alignment horizontal="right" vertical="center" wrapText="1"/>
    </xf>
    <xf numFmtId="3" fontId="74" fillId="0" borderId="0" xfId="0" applyNumberFormat="1" applyFont="1" applyAlignment="1">
      <alignment vertical="center" wrapText="1"/>
    </xf>
    <xf numFmtId="3" fontId="73" fillId="0" borderId="0" xfId="0" applyNumberFormat="1" applyFont="1" applyAlignment="1">
      <alignment vertical="center" wrapText="1"/>
    </xf>
    <xf numFmtId="0" fontId="74" fillId="0" borderId="0" xfId="0" applyFont="1" applyAlignment="1">
      <alignment vertical="center" wrapText="1"/>
    </xf>
    <xf numFmtId="3" fontId="73" fillId="0" borderId="38" xfId="0" applyNumberFormat="1" applyFont="1" applyBorder="1" applyAlignment="1">
      <alignment horizontal="right" vertical="center" wrapText="1"/>
    </xf>
    <xf numFmtId="3" fontId="75" fillId="34" borderId="38" xfId="0" applyNumberFormat="1" applyFont="1" applyFill="1" applyBorder="1" applyAlignment="1">
      <alignment horizontal="right" vertical="center" wrapText="1"/>
    </xf>
    <xf numFmtId="16" fontId="88" fillId="0" borderId="38" xfId="0" quotePrefix="1" applyNumberFormat="1" applyFont="1" applyBorder="1" applyAlignment="1">
      <alignment horizontal="center" vertical="center" wrapText="1"/>
    </xf>
    <xf numFmtId="0" fontId="88" fillId="0" borderId="38" xfId="0" applyFont="1" applyBorder="1" applyAlignment="1">
      <alignment horizontal="center" vertical="center" wrapText="1"/>
    </xf>
    <xf numFmtId="3" fontId="73" fillId="0" borderId="27" xfId="0" applyNumberFormat="1" applyFont="1" applyBorder="1" applyAlignment="1">
      <alignment horizontal="right" vertical="center" wrapText="1"/>
    </xf>
    <xf numFmtId="0" fontId="39" fillId="0" borderId="11" xfId="0" quotePrefix="1" applyFont="1" applyBorder="1" applyAlignment="1">
      <alignment horizontal="center" vertical="center" wrapText="1"/>
    </xf>
    <xf numFmtId="3" fontId="75" fillId="0" borderId="38" xfId="0" applyNumberFormat="1" applyFont="1" applyBorder="1" applyAlignment="1">
      <alignment horizontal="right" vertical="center" wrapText="1"/>
    </xf>
    <xf numFmtId="0" fontId="73" fillId="0" borderId="38" xfId="0" applyFont="1" applyBorder="1" applyAlignment="1">
      <alignment horizontal="center" vertical="center" wrapText="1"/>
    </xf>
    <xf numFmtId="0" fontId="73" fillId="0" borderId="38" xfId="0" applyFont="1" applyBorder="1" applyAlignment="1">
      <alignment horizontal="justify" vertical="center" wrapText="1"/>
    </xf>
    <xf numFmtId="49" fontId="37" fillId="27" borderId="46" xfId="0" applyNumberFormat="1" applyFont="1" applyFill="1" applyBorder="1" applyAlignment="1">
      <alignment horizontal="center" vertical="center" wrapText="1"/>
    </xf>
    <xf numFmtId="0" fontId="37" fillId="27" borderId="61" xfId="0" applyFont="1" applyFill="1" applyBorder="1" applyAlignment="1">
      <alignment horizontal="left" vertical="center" wrapText="1"/>
    </xf>
    <xf numFmtId="0" fontId="37" fillId="27" borderId="62" xfId="0" applyFont="1" applyFill="1" applyBorder="1" applyAlignment="1">
      <alignment horizontal="left" vertical="center" wrapText="1"/>
    </xf>
    <xf numFmtId="49" fontId="36" fillId="0" borderId="69" xfId="0" applyNumberFormat="1" applyFont="1" applyBorder="1" applyAlignment="1">
      <alignment horizontal="center" vertical="center" wrapText="1"/>
    </xf>
    <xf numFmtId="0" fontId="36" fillId="0" borderId="70" xfId="0" applyFont="1" applyBorder="1" applyAlignment="1">
      <alignment horizontal="center" vertical="center" wrapText="1"/>
    </xf>
    <xf numFmtId="0" fontId="36" fillId="32" borderId="70" xfId="0" applyFont="1" applyFill="1" applyBorder="1" applyAlignment="1">
      <alignment horizontal="center" vertical="center" wrapText="1"/>
    </xf>
    <xf numFmtId="49" fontId="36" fillId="32" borderId="70" xfId="0" applyNumberFormat="1" applyFont="1" applyFill="1" applyBorder="1" applyAlignment="1">
      <alignment horizontal="center" vertical="center" wrapText="1"/>
    </xf>
    <xf numFmtId="3" fontId="36" fillId="32" borderId="71" xfId="0" applyNumberFormat="1" applyFont="1" applyFill="1" applyBorder="1" applyAlignment="1">
      <alignment horizontal="center" vertical="center" wrapText="1"/>
    </xf>
    <xf numFmtId="49" fontId="36" fillId="0" borderId="72" xfId="262" applyNumberFormat="1" applyFont="1" applyFill="1" applyBorder="1" applyAlignment="1">
      <alignment horizontal="center" vertical="center" wrapText="1"/>
    </xf>
    <xf numFmtId="165" fontId="36" fillId="0" borderId="73" xfId="262" applyNumberFormat="1" applyFont="1" applyFill="1" applyBorder="1" applyAlignment="1">
      <alignment horizontal="center" vertical="center" wrapText="1"/>
    </xf>
    <xf numFmtId="165" fontId="40" fillId="0" borderId="73" xfId="262" applyNumberFormat="1" applyFont="1" applyFill="1" applyBorder="1" applyAlignment="1">
      <alignment horizontal="center" vertical="center" wrapText="1"/>
    </xf>
    <xf numFmtId="49" fontId="36" fillId="0" borderId="73" xfId="262" applyNumberFormat="1" applyFont="1" applyFill="1" applyBorder="1" applyAlignment="1">
      <alignment horizontal="center" vertical="center" wrapText="1"/>
    </xf>
    <xf numFmtId="3" fontId="36" fillId="0" borderId="74" xfId="262" applyNumberFormat="1" applyFont="1" applyFill="1" applyBorder="1" applyAlignment="1">
      <alignment horizontal="center" vertical="center" wrapText="1"/>
    </xf>
    <xf numFmtId="49" fontId="36" fillId="0" borderId="72" xfId="0" applyNumberFormat="1" applyFont="1" applyBorder="1" applyAlignment="1">
      <alignment horizontal="center" vertical="center" wrapText="1"/>
    </xf>
    <xf numFmtId="0" fontId="36" fillId="0" borderId="73" xfId="0" applyFont="1" applyBorder="1" applyAlignment="1">
      <alignment vertical="center" wrapText="1"/>
    </xf>
    <xf numFmtId="0" fontId="36" fillId="0" borderId="73" xfId="0" applyFont="1" applyBorder="1" applyAlignment="1">
      <alignment horizontal="center" vertical="center" wrapText="1"/>
    </xf>
    <xf numFmtId="1" fontId="36" fillId="0" borderId="73" xfId="0" applyNumberFormat="1" applyFont="1" applyBorder="1" applyAlignment="1">
      <alignment horizontal="center" vertical="center" wrapText="1"/>
    </xf>
    <xf numFmtId="49" fontId="36" fillId="0" borderId="73" xfId="0" applyNumberFormat="1" applyFont="1" applyBorder="1" applyAlignment="1">
      <alignment horizontal="center" vertical="center" wrapText="1"/>
    </xf>
    <xf numFmtId="3" fontId="36" fillId="0" borderId="74" xfId="262" applyNumberFormat="1" applyFont="1" applyFill="1" applyBorder="1" applyAlignment="1">
      <alignment vertical="center" wrapText="1"/>
    </xf>
    <xf numFmtId="49" fontId="36" fillId="0" borderId="75" xfId="0" applyNumberFormat="1" applyFont="1" applyBorder="1" applyAlignment="1">
      <alignment horizontal="center" vertical="center" wrapText="1"/>
    </xf>
    <xf numFmtId="0" fontId="36" fillId="0" borderId="76" xfId="0" applyFont="1" applyBorder="1" applyAlignment="1">
      <alignment vertical="center" wrapText="1"/>
    </xf>
    <xf numFmtId="0" fontId="36" fillId="0" borderId="76" xfId="0" applyFont="1" applyBorder="1" applyAlignment="1">
      <alignment horizontal="center" vertical="center" wrapText="1"/>
    </xf>
    <xf numFmtId="1" fontId="36" fillId="0" borderId="76" xfId="0" applyNumberFormat="1" applyFont="1" applyBorder="1" applyAlignment="1">
      <alignment horizontal="center" vertical="center" wrapText="1"/>
    </xf>
    <xf numFmtId="49" fontId="36" fillId="0" borderId="76" xfId="0" applyNumberFormat="1" applyFont="1" applyBorder="1" applyAlignment="1">
      <alignment horizontal="center" vertical="center" wrapText="1"/>
    </xf>
    <xf numFmtId="3" fontId="36" fillId="0" borderId="77" xfId="262" applyNumberFormat="1" applyFont="1" applyFill="1" applyBorder="1" applyAlignment="1">
      <alignment vertical="center" wrapText="1"/>
    </xf>
    <xf numFmtId="0" fontId="37" fillId="28" borderId="38" xfId="0" applyFont="1" applyFill="1" applyBorder="1" applyAlignment="1">
      <alignment horizontal="center" vertical="center" wrapText="1"/>
    </xf>
    <xf numFmtId="49" fontId="37" fillId="27" borderId="38" xfId="0" applyNumberFormat="1" applyFont="1" applyFill="1" applyBorder="1" applyAlignment="1">
      <alignment horizontal="center" vertical="center" wrapText="1"/>
    </xf>
    <xf numFmtId="0" fontId="37" fillId="27" borderId="38" xfId="0" applyFont="1" applyFill="1" applyBorder="1" applyAlignment="1">
      <alignment vertical="center" wrapText="1"/>
    </xf>
    <xf numFmtId="49" fontId="36" fillId="34" borderId="38" xfId="0" applyNumberFormat="1" applyFont="1" applyFill="1" applyBorder="1" applyAlignment="1">
      <alignment horizontal="center" vertical="center" wrapText="1"/>
    </xf>
    <xf numFmtId="1" fontId="36" fillId="34" borderId="38" xfId="0" applyNumberFormat="1" applyFont="1" applyFill="1" applyBorder="1" applyAlignment="1">
      <alignment horizontal="center" vertical="center" wrapText="1"/>
    </xf>
    <xf numFmtId="3" fontId="36" fillId="34" borderId="38" xfId="262" applyNumberFormat="1" applyFont="1" applyFill="1" applyBorder="1" applyAlignment="1">
      <alignment vertical="center" wrapText="1"/>
    </xf>
    <xf numFmtId="1" fontId="36" fillId="34" borderId="38" xfId="262" applyNumberFormat="1" applyFont="1" applyFill="1" applyBorder="1" applyAlignment="1">
      <alignment horizontal="center" vertical="center" wrapText="1"/>
    </xf>
    <xf numFmtId="0" fontId="73" fillId="34" borderId="38" xfId="0" applyFont="1" applyFill="1" applyBorder="1" applyAlignment="1">
      <alignment horizontal="center" vertical="center" wrapText="1"/>
    </xf>
    <xf numFmtId="0" fontId="73" fillId="34" borderId="38" xfId="0" applyFont="1" applyFill="1" applyBorder="1" applyAlignment="1">
      <alignment vertical="center" wrapText="1"/>
    </xf>
    <xf numFmtId="3" fontId="36" fillId="34" borderId="38" xfId="0" applyNumberFormat="1" applyFont="1" applyFill="1" applyBorder="1" applyAlignment="1">
      <alignment vertical="center" wrapText="1"/>
    </xf>
    <xf numFmtId="2" fontId="73" fillId="34" borderId="38" xfId="0" applyNumberFormat="1" applyFont="1" applyFill="1" applyBorder="1" applyAlignment="1">
      <alignment horizontal="center" vertical="center" wrapText="1"/>
    </xf>
    <xf numFmtId="3" fontId="73" fillId="34" borderId="38" xfId="0" applyNumberFormat="1" applyFont="1" applyFill="1" applyBorder="1" applyAlignment="1">
      <alignment vertical="center" wrapText="1"/>
    </xf>
    <xf numFmtId="0" fontId="37" fillId="28" borderId="38" xfId="0" applyFont="1" applyFill="1" applyBorder="1" applyAlignment="1">
      <alignment vertical="center" wrapText="1"/>
    </xf>
    <xf numFmtId="0" fontId="37" fillId="28" borderId="38" xfId="0" applyFont="1" applyFill="1" applyBorder="1" applyAlignment="1">
      <alignment horizontal="left" vertical="center" wrapText="1"/>
    </xf>
    <xf numFmtId="49" fontId="37" fillId="29" borderId="38" xfId="0" applyNumberFormat="1" applyFont="1" applyFill="1" applyBorder="1" applyAlignment="1">
      <alignment horizontal="center" vertical="center" wrapText="1"/>
    </xf>
    <xf numFmtId="2" fontId="36" fillId="0" borderId="38" xfId="0" applyNumberFormat="1" applyFont="1" applyBorder="1" applyAlignment="1">
      <alignment horizontal="center" vertical="center" wrapText="1"/>
    </xf>
    <xf numFmtId="3" fontId="36" fillId="0" borderId="38" xfId="0" applyNumberFormat="1" applyFont="1" applyBorder="1" applyAlignment="1">
      <alignment vertical="center" wrapText="1"/>
    </xf>
    <xf numFmtId="166" fontId="36" fillId="34" borderId="38" xfId="0" applyNumberFormat="1" applyFont="1" applyFill="1" applyBorder="1" applyAlignment="1">
      <alignment horizontal="center" vertical="center" wrapText="1"/>
    </xf>
    <xf numFmtId="166" fontId="36" fillId="0" borderId="38" xfId="0" applyNumberFormat="1" applyFont="1" applyBorder="1" applyAlignment="1">
      <alignment horizontal="center" vertical="center" wrapText="1"/>
    </xf>
    <xf numFmtId="2" fontId="36" fillId="0" borderId="38" xfId="0" applyNumberFormat="1" applyFont="1" applyBorder="1" applyAlignment="1">
      <alignment vertical="center" wrapText="1"/>
    </xf>
    <xf numFmtId="49" fontId="36" fillId="34" borderId="38" xfId="0" quotePrefix="1" applyNumberFormat="1" applyFont="1" applyFill="1" applyBorder="1" applyAlignment="1">
      <alignment horizontal="center" vertical="center" wrapText="1"/>
    </xf>
    <xf numFmtId="0" fontId="36" fillId="0" borderId="12" xfId="0" applyFont="1" applyBorder="1" applyAlignment="1">
      <alignment horizontal="left" vertical="center" wrapText="1"/>
    </xf>
    <xf numFmtId="0" fontId="28" fillId="32" borderId="38" xfId="0" applyFont="1" applyFill="1" applyBorder="1" applyAlignment="1">
      <alignment horizontal="center"/>
    </xf>
    <xf numFmtId="0" fontId="28" fillId="32" borderId="38" xfId="0" applyFont="1" applyFill="1" applyBorder="1" applyAlignment="1">
      <alignment horizontal="center" vertical="center"/>
    </xf>
    <xf numFmtId="165" fontId="90" fillId="32" borderId="38" xfId="261" applyNumberFormat="1" applyFont="1" applyFill="1" applyBorder="1" applyAlignment="1">
      <alignment horizontal="center"/>
    </xf>
    <xf numFmtId="175" fontId="91" fillId="32" borderId="38" xfId="0" applyNumberFormat="1" applyFont="1" applyFill="1" applyBorder="1" applyAlignment="1">
      <alignment horizontal="center"/>
    </xf>
    <xf numFmtId="0" fontId="91" fillId="32" borderId="38" xfId="0" applyFont="1" applyFill="1" applyBorder="1" applyAlignment="1">
      <alignment horizontal="center"/>
    </xf>
    <xf numFmtId="0" fontId="29" fillId="0" borderId="38" xfId="0" applyFont="1" applyBorder="1" applyAlignment="1">
      <alignment horizontal="left"/>
    </xf>
    <xf numFmtId="0" fontId="32" fillId="0" borderId="38" xfId="0" applyFont="1" applyBorder="1" applyAlignment="1">
      <alignment horizontal="center"/>
    </xf>
    <xf numFmtId="0" fontId="32" fillId="0" borderId="38" xfId="0" applyFont="1" applyBorder="1" applyAlignment="1">
      <alignment horizontal="right"/>
    </xf>
    <xf numFmtId="0" fontId="30" fillId="0" borderId="38" xfId="0" applyFont="1" applyBorder="1" applyAlignment="1">
      <alignment horizontal="center"/>
    </xf>
    <xf numFmtId="165" fontId="28" fillId="0" borderId="38" xfId="261" applyNumberFormat="1" applyFont="1" applyBorder="1" applyAlignment="1">
      <alignment horizontal="right"/>
    </xf>
    <xf numFmtId="165" fontId="28" fillId="0" borderId="38" xfId="0" applyNumberFormat="1" applyFont="1" applyBorder="1" applyAlignment="1">
      <alignment horizontal="right"/>
    </xf>
    <xf numFmtId="2" fontId="28" fillId="0" borderId="38" xfId="0" applyNumberFormat="1" applyFont="1" applyBorder="1" applyAlignment="1">
      <alignment horizontal="center"/>
    </xf>
    <xf numFmtId="0" fontId="30" fillId="0" borderId="38" xfId="0" applyFont="1" applyBorder="1" applyAlignment="1">
      <alignment horizontal="left"/>
    </xf>
    <xf numFmtId="0" fontId="29" fillId="0" borderId="38" xfId="0" applyFont="1" applyBorder="1" applyAlignment="1">
      <alignment horizontal="left" vertical="center"/>
    </xf>
    <xf numFmtId="165" fontId="30" fillId="0" borderId="38" xfId="261" applyNumberFormat="1" applyFont="1" applyBorder="1" applyAlignment="1">
      <alignment horizontal="center" wrapText="1"/>
    </xf>
    <xf numFmtId="43" fontId="28" fillId="31" borderId="38" xfId="261" applyFont="1" applyFill="1" applyBorder="1" applyAlignment="1">
      <alignment horizontal="right"/>
    </xf>
    <xf numFmtId="165" fontId="28" fillId="31" borderId="38" xfId="261" applyNumberFormat="1" applyFont="1" applyFill="1" applyBorder="1" applyAlignment="1">
      <alignment horizontal="right"/>
    </xf>
    <xf numFmtId="43" fontId="28" fillId="0" borderId="38" xfId="261" applyFont="1" applyBorder="1" applyAlignment="1">
      <alignment horizontal="right"/>
    </xf>
    <xf numFmtId="165" fontId="30" fillId="0" borderId="38" xfId="261" applyNumberFormat="1" applyFont="1" applyBorder="1" applyAlignment="1">
      <alignment horizontal="right"/>
    </xf>
    <xf numFmtId="165" fontId="30" fillId="31" borderId="38" xfId="261" applyNumberFormat="1" applyFont="1" applyFill="1" applyBorder="1" applyAlignment="1">
      <alignment horizontal="right"/>
    </xf>
    <xf numFmtId="165" fontId="30" fillId="34" borderId="38" xfId="261" applyNumberFormat="1" applyFont="1" applyFill="1" applyBorder="1" applyAlignment="1">
      <alignment horizontal="right"/>
    </xf>
    <xf numFmtId="0" fontId="30" fillId="24" borderId="38" xfId="0" applyFont="1" applyFill="1" applyBorder="1" applyAlignment="1">
      <alignment horizontal="center" vertical="center" wrapText="1"/>
    </xf>
    <xf numFmtId="0" fontId="28" fillId="0" borderId="38" xfId="0" applyFont="1" applyBorder="1" applyAlignment="1">
      <alignment horizontal="left" vertical="center" wrapText="1"/>
    </xf>
    <xf numFmtId="172" fontId="28" fillId="0" borderId="38" xfId="0" applyNumberFormat="1" applyFont="1" applyBorder="1" applyAlignment="1">
      <alignment horizontal="right" vertical="center"/>
    </xf>
    <xf numFmtId="0" fontId="28" fillId="0" borderId="38" xfId="409" applyFont="1" applyBorder="1" applyAlignment="1">
      <alignment horizontal="left" vertical="center" wrapText="1"/>
    </xf>
    <xf numFmtId="0" fontId="28" fillId="0" borderId="38" xfId="410" applyFont="1" applyBorder="1"/>
    <xf numFmtId="9" fontId="28" fillId="0" borderId="38" xfId="0" applyNumberFormat="1" applyFont="1" applyBorder="1" applyAlignment="1">
      <alignment horizontal="center" vertical="center" wrapText="1"/>
    </xf>
    <xf numFmtId="0" fontId="71" fillId="34" borderId="38" xfId="0" applyFont="1" applyFill="1" applyBorder="1" applyAlignment="1">
      <alignment vertical="center" wrapText="1"/>
    </xf>
    <xf numFmtId="0" fontId="71" fillId="34" borderId="38" xfId="0" applyFont="1" applyFill="1" applyBorder="1" applyAlignment="1">
      <alignment horizontal="center" vertical="center" wrapText="1"/>
    </xf>
    <xf numFmtId="2" fontId="71" fillId="34" borderId="38" xfId="0" applyNumberFormat="1" applyFont="1" applyFill="1" applyBorder="1" applyAlignment="1">
      <alignment horizontal="center" vertical="center" wrapText="1"/>
    </xf>
    <xf numFmtId="3" fontId="71" fillId="34" borderId="38" xfId="0" applyNumberFormat="1" applyFont="1" applyFill="1" applyBorder="1" applyAlignment="1">
      <alignment vertical="center" wrapText="1"/>
    </xf>
    <xf numFmtId="166" fontId="71" fillId="34" borderId="38" xfId="0" applyNumberFormat="1" applyFont="1" applyFill="1" applyBorder="1" applyAlignment="1">
      <alignment horizontal="center" vertical="center" wrapText="1"/>
    </xf>
    <xf numFmtId="0" fontId="70" fillId="31" borderId="0" xfId="0" applyFont="1" applyFill="1" applyAlignment="1">
      <alignment vertical="center" wrapText="1"/>
    </xf>
    <xf numFmtId="49" fontId="37" fillId="0" borderId="38" xfId="0" applyNumberFormat="1" applyFont="1" applyBorder="1" applyAlignment="1">
      <alignment horizontal="center" vertical="center" wrapText="1"/>
    </xf>
    <xf numFmtId="0" fontId="37" fillId="0" borderId="38" xfId="0" applyFont="1" applyBorder="1" applyAlignment="1">
      <alignment horizontal="left" vertical="center" wrapText="1"/>
    </xf>
    <xf numFmtId="0" fontId="37" fillId="0" borderId="38" xfId="0" applyFont="1" applyBorder="1" applyAlignment="1">
      <alignment vertical="center" wrapText="1"/>
    </xf>
    <xf numFmtId="49" fontId="89" fillId="27" borderId="38" xfId="0" applyNumberFormat="1" applyFont="1" applyFill="1" applyBorder="1" applyAlignment="1">
      <alignment horizontal="center" vertical="center" wrapText="1"/>
    </xf>
    <xf numFmtId="0" fontId="89" fillId="27" borderId="38" xfId="0" applyFont="1" applyFill="1" applyBorder="1" applyAlignment="1">
      <alignment horizontal="left" vertical="center" wrapText="1"/>
    </xf>
    <xf numFmtId="0" fontId="71" fillId="34" borderId="38" xfId="0" applyFont="1" applyFill="1" applyBorder="1" applyAlignment="1">
      <alignment horizontal="left" vertical="center" wrapText="1"/>
    </xf>
    <xf numFmtId="49" fontId="75" fillId="0" borderId="38" xfId="0" quotePrefix="1" applyNumberFormat="1" applyFont="1" applyBorder="1" applyAlignment="1">
      <alignment horizontal="center" vertical="center" wrapText="1"/>
    </xf>
    <xf numFmtId="0" fontId="30" fillId="34" borderId="38" xfId="0" applyFont="1" applyFill="1" applyBorder="1" applyAlignment="1">
      <alignment vertical="center" wrapText="1"/>
    </xf>
    <xf numFmtId="3" fontId="36" fillId="31" borderId="38" xfId="0" applyNumberFormat="1" applyFont="1" applyFill="1" applyBorder="1" applyAlignment="1">
      <alignment horizontal="right" vertical="center" wrapText="1"/>
    </xf>
    <xf numFmtId="0" fontId="37" fillId="29" borderId="52" xfId="0" applyFont="1" applyFill="1" applyBorder="1" applyAlignment="1">
      <alignment horizontal="center" vertical="center" wrapText="1"/>
    </xf>
    <xf numFmtId="3" fontId="36" fillId="0" borderId="52" xfId="0" applyNumberFormat="1" applyFont="1" applyBorder="1" applyAlignment="1">
      <alignment horizontal="right" vertical="center" wrapText="1"/>
    </xf>
    <xf numFmtId="3" fontId="36" fillId="0" borderId="23" xfId="0" applyNumberFormat="1" applyFont="1" applyBorder="1" applyAlignment="1">
      <alignment horizontal="right" vertical="center" wrapText="1"/>
    </xf>
    <xf numFmtId="3" fontId="36" fillId="31" borderId="23" xfId="0" applyNumberFormat="1" applyFont="1" applyFill="1" applyBorder="1" applyAlignment="1">
      <alignment horizontal="right" vertical="center" wrapText="1"/>
    </xf>
    <xf numFmtId="0" fontId="36" fillId="0" borderId="33" xfId="0" applyFont="1" applyBorder="1" applyAlignment="1">
      <alignment horizontal="center" vertical="center" wrapText="1"/>
    </xf>
    <xf numFmtId="3" fontId="36" fillId="0" borderId="33" xfId="0" applyNumberFormat="1" applyFont="1" applyBorder="1" applyAlignment="1">
      <alignment horizontal="right" vertical="center" wrapText="1"/>
    </xf>
    <xf numFmtId="3" fontId="36" fillId="31" borderId="33" xfId="0" applyNumberFormat="1" applyFont="1" applyFill="1" applyBorder="1" applyAlignment="1">
      <alignment horizontal="right" vertical="center" wrapText="1"/>
    </xf>
    <xf numFmtId="0" fontId="36" fillId="0" borderId="16" xfId="0" applyFont="1" applyBorder="1" applyAlignment="1">
      <alignment horizontal="center" vertical="center" wrapText="1"/>
    </xf>
    <xf numFmtId="3" fontId="36" fillId="31" borderId="31" xfId="0" applyNumberFormat="1" applyFont="1" applyFill="1" applyBorder="1" applyAlignment="1">
      <alignment horizontal="right" vertical="center" wrapText="1"/>
    </xf>
    <xf numFmtId="0" fontId="36" fillId="0" borderId="78" xfId="0" applyFont="1" applyBorder="1" applyAlignment="1">
      <alignment horizontal="center" vertical="center" wrapText="1"/>
    </xf>
    <xf numFmtId="3" fontId="36" fillId="0" borderId="78" xfId="0" applyNumberFormat="1" applyFont="1" applyBorder="1" applyAlignment="1">
      <alignment horizontal="right" vertical="center" wrapText="1"/>
    </xf>
    <xf numFmtId="3" fontId="36" fillId="31" borderId="79" xfId="0" applyNumberFormat="1" applyFont="1" applyFill="1" applyBorder="1" applyAlignment="1">
      <alignment horizontal="right" vertical="center" wrapText="1"/>
    </xf>
    <xf numFmtId="0" fontId="36" fillId="0" borderId="16" xfId="0" applyFont="1" applyBorder="1" applyAlignment="1">
      <alignment horizontal="left" vertical="center" wrapText="1"/>
    </xf>
    <xf numFmtId="0" fontId="36" fillId="0" borderId="78" xfId="0" applyFont="1" applyBorder="1" applyAlignment="1">
      <alignment horizontal="left" vertical="center" wrapText="1"/>
    </xf>
    <xf numFmtId="0" fontId="36" fillId="0" borderId="52" xfId="0" applyFont="1" applyBorder="1" applyAlignment="1">
      <alignment vertical="center" wrapText="1"/>
    </xf>
    <xf numFmtId="0" fontId="36" fillId="0" borderId="23" xfId="0" applyFont="1" applyBorder="1" applyAlignment="1">
      <alignment horizontal="center" vertical="center" wrapText="1"/>
    </xf>
    <xf numFmtId="0" fontId="37" fillId="0" borderId="80" xfId="0" applyFont="1" applyBorder="1" applyAlignment="1">
      <alignment horizontal="center" vertical="center" wrapText="1"/>
    </xf>
    <xf numFmtId="0" fontId="37" fillId="0" borderId="81" xfId="0" applyFont="1" applyBorder="1" applyAlignment="1">
      <alignment vertical="center" wrapText="1"/>
    </xf>
    <xf numFmtId="0" fontId="36" fillId="0" borderId="81" xfId="0" applyFont="1" applyBorder="1" applyAlignment="1">
      <alignment horizontal="center" vertical="center" wrapText="1"/>
    </xf>
    <xf numFmtId="3" fontId="36" fillId="0" borderId="81" xfId="0" applyNumberFormat="1" applyFont="1" applyBorder="1" applyAlignment="1">
      <alignment horizontal="right" vertical="center" wrapText="1"/>
    </xf>
    <xf numFmtId="3" fontId="36" fillId="31" borderId="82" xfId="0" applyNumberFormat="1" applyFont="1" applyFill="1" applyBorder="1" applyAlignment="1">
      <alignment horizontal="right" vertical="center" wrapText="1"/>
    </xf>
    <xf numFmtId="0" fontId="36" fillId="0" borderId="52" xfId="0" applyFont="1" applyBorder="1" applyAlignment="1">
      <alignment horizontal="center" vertical="center" wrapText="1"/>
    </xf>
    <xf numFmtId="9" fontId="37" fillId="24" borderId="23" xfId="0" applyNumberFormat="1" applyFont="1" applyFill="1" applyBorder="1" applyAlignment="1">
      <alignment horizontal="center" vertical="center" wrapText="1"/>
    </xf>
    <xf numFmtId="49" fontId="36" fillId="0" borderId="16" xfId="0" applyNumberFormat="1" applyFont="1" applyBorder="1" applyAlignment="1">
      <alignment horizontal="center" vertical="center" wrapText="1"/>
    </xf>
    <xf numFmtId="3" fontId="36" fillId="0" borderId="16" xfId="0" applyNumberFormat="1" applyFont="1" applyBorder="1" applyAlignment="1">
      <alignment horizontal="right" vertical="center" wrapText="1"/>
    </xf>
    <xf numFmtId="3" fontId="36" fillId="31" borderId="17" xfId="0" applyNumberFormat="1" applyFont="1" applyFill="1" applyBorder="1" applyAlignment="1">
      <alignment horizontal="right" vertical="center" wrapText="1"/>
    </xf>
    <xf numFmtId="49" fontId="36" fillId="0" borderId="78" xfId="0" applyNumberFormat="1" applyFont="1" applyBorder="1" applyAlignment="1">
      <alignment horizontal="center" vertical="center" wrapText="1"/>
    </xf>
    <xf numFmtId="0" fontId="38" fillId="0" borderId="43" xfId="0" applyFont="1" applyBorder="1" applyAlignment="1">
      <alignment horizontal="center" vertical="center" wrapText="1"/>
    </xf>
    <xf numFmtId="0" fontId="36" fillId="0" borderId="43" xfId="0" applyFont="1" applyBorder="1" applyAlignment="1">
      <alignment horizontal="center" vertical="center" wrapText="1"/>
    </xf>
    <xf numFmtId="0" fontId="38" fillId="0" borderId="83" xfId="0" applyFont="1" applyBorder="1" applyAlignment="1">
      <alignment horizontal="center" vertical="center" wrapText="1"/>
    </xf>
    <xf numFmtId="0" fontId="39" fillId="0" borderId="43" xfId="0" applyFont="1" applyBorder="1" applyAlignment="1">
      <alignment horizontal="center" vertical="center" wrapText="1"/>
    </xf>
    <xf numFmtId="0" fontId="37" fillId="29" borderId="68" xfId="0" applyFont="1" applyFill="1" applyBorder="1" applyAlignment="1">
      <alignment horizontal="center" vertical="center" wrapText="1"/>
    </xf>
    <xf numFmtId="0" fontId="37" fillId="0" borderId="43" xfId="0" applyFont="1" applyBorder="1" applyAlignment="1">
      <alignment horizontal="center" vertical="center" wrapText="1"/>
    </xf>
    <xf numFmtId="0" fontId="36" fillId="0" borderId="85" xfId="0" applyFont="1" applyBorder="1" applyAlignment="1">
      <alignment horizontal="center" vertical="center" wrapText="1"/>
    </xf>
    <xf numFmtId="0" fontId="38" fillId="0" borderId="38" xfId="0" applyFont="1" applyBorder="1" applyAlignment="1">
      <alignment horizontal="center" vertical="center" wrapText="1"/>
    </xf>
    <xf numFmtId="49" fontId="71" fillId="34" borderId="38" xfId="0" applyNumberFormat="1" applyFont="1" applyFill="1" applyBorder="1" applyAlignment="1">
      <alignment horizontal="center" vertical="center" wrapText="1"/>
    </xf>
    <xf numFmtId="3" fontId="30" fillId="30" borderId="38" xfId="0" applyNumberFormat="1" applyFont="1" applyFill="1" applyBorder="1" applyAlignment="1">
      <alignment horizontal="center" vertical="center" wrapText="1"/>
    </xf>
    <xf numFmtId="0" fontId="70" fillId="34" borderId="38" xfId="0" applyFont="1" applyFill="1" applyBorder="1" applyAlignment="1">
      <alignment horizontal="center" vertical="center" wrapText="1"/>
    </xf>
    <xf numFmtId="0" fontId="70" fillId="34" borderId="38" xfId="0" applyFont="1" applyFill="1" applyBorder="1" applyAlignment="1">
      <alignment vertical="center" wrapText="1"/>
    </xf>
    <xf numFmtId="2" fontId="70" fillId="34" borderId="38" xfId="0" applyNumberFormat="1" applyFont="1" applyFill="1" applyBorder="1" applyAlignment="1">
      <alignment horizontal="center" vertical="center" wrapText="1"/>
    </xf>
    <xf numFmtId="49" fontId="70" fillId="34" borderId="38" xfId="0" applyNumberFormat="1" applyFont="1" applyFill="1" applyBorder="1" applyAlignment="1">
      <alignment horizontal="center" vertical="center" wrapText="1"/>
    </xf>
    <xf numFmtId="166" fontId="70" fillId="34" borderId="38" xfId="0" applyNumberFormat="1" applyFont="1" applyFill="1" applyBorder="1" applyAlignment="1">
      <alignment horizontal="center" vertical="center" wrapText="1"/>
    </xf>
    <xf numFmtId="3" fontId="70" fillId="34" borderId="38" xfId="0" applyNumberFormat="1" applyFont="1" applyFill="1" applyBorder="1" applyAlignment="1">
      <alignment vertical="center" wrapText="1"/>
    </xf>
    <xf numFmtId="49" fontId="71" fillId="0" borderId="38" xfId="0" applyNumberFormat="1" applyFont="1" applyBorder="1" applyAlignment="1">
      <alignment horizontal="center" vertical="center" wrapText="1"/>
    </xf>
    <xf numFmtId="0" fontId="71" fillId="0" borderId="38" xfId="0" applyFont="1" applyBorder="1" applyAlignment="1">
      <alignment vertical="center" wrapText="1"/>
    </xf>
    <xf numFmtId="0" fontId="71" fillId="0" borderId="38" xfId="0" applyFont="1" applyBorder="1" applyAlignment="1">
      <alignment horizontal="center" vertical="center" wrapText="1"/>
    </xf>
    <xf numFmtId="2" fontId="71" fillId="0" borderId="38" xfId="0" applyNumberFormat="1" applyFont="1" applyBorder="1" applyAlignment="1">
      <alignment horizontal="center" vertical="center" wrapText="1"/>
    </xf>
    <xf numFmtId="166" fontId="71" fillId="0" borderId="38" xfId="0" applyNumberFormat="1" applyFont="1" applyBorder="1" applyAlignment="1">
      <alignment horizontal="center" vertical="center" wrapText="1"/>
    </xf>
    <xf numFmtId="166" fontId="71" fillId="0" borderId="38" xfId="0" applyNumberFormat="1" applyFont="1" applyBorder="1" applyAlignment="1">
      <alignment vertical="center" wrapText="1"/>
    </xf>
    <xf numFmtId="3" fontId="71" fillId="0" borderId="38" xfId="0" applyNumberFormat="1" applyFont="1" applyBorder="1" applyAlignment="1">
      <alignment vertical="center" wrapText="1"/>
    </xf>
    <xf numFmtId="49" fontId="71" fillId="0" borderId="86" xfId="0" applyNumberFormat="1" applyFont="1" applyBorder="1" applyAlignment="1">
      <alignment horizontal="center" vertical="center" wrapText="1"/>
    </xf>
    <xf numFmtId="0" fontId="36" fillId="29" borderId="0" xfId="0" applyFont="1" applyFill="1" applyAlignment="1">
      <alignment vertical="center" wrapText="1"/>
    </xf>
    <xf numFmtId="166" fontId="71" fillId="29" borderId="87" xfId="0" applyNumberFormat="1" applyFont="1" applyFill="1" applyBorder="1" applyAlignment="1">
      <alignment horizontal="center" vertical="center" wrapText="1"/>
    </xf>
    <xf numFmtId="166" fontId="71" fillId="29" borderId="87" xfId="0" applyNumberFormat="1" applyFont="1" applyFill="1" applyBorder="1" applyAlignment="1">
      <alignment vertical="center" wrapText="1"/>
    </xf>
    <xf numFmtId="3" fontId="71" fillId="29" borderId="87" xfId="0" applyNumberFormat="1" applyFont="1" applyFill="1" applyBorder="1" applyAlignment="1">
      <alignment vertical="center" wrapText="1"/>
    </xf>
    <xf numFmtId="0" fontId="77" fillId="29" borderId="0" xfId="0" applyFont="1" applyFill="1" applyAlignment="1">
      <alignment vertical="center" wrapText="1"/>
    </xf>
    <xf numFmtId="49" fontId="92" fillId="29" borderId="86" xfId="0" applyNumberFormat="1" applyFont="1" applyFill="1" applyBorder="1" applyAlignment="1">
      <alignment horizontal="center" vertical="center" wrapText="1"/>
    </xf>
    <xf numFmtId="0" fontId="93" fillId="0" borderId="0" xfId="0" applyFont="1" applyAlignment="1">
      <alignment horizontal="left" vertical="center"/>
    </xf>
    <xf numFmtId="49" fontId="93" fillId="0" borderId="0" xfId="0" applyNumberFormat="1" applyFont="1" applyAlignment="1">
      <alignment horizontal="center" vertical="center"/>
    </xf>
    <xf numFmtId="3" fontId="37" fillId="0" borderId="0" xfId="0" applyNumberFormat="1" applyFont="1" applyAlignment="1">
      <alignment vertical="center" wrapText="1"/>
    </xf>
    <xf numFmtId="3" fontId="93" fillId="34" borderId="0" xfId="0" applyNumberFormat="1" applyFont="1" applyFill="1" applyAlignment="1">
      <alignment horizontal="center" vertical="center"/>
    </xf>
    <xf numFmtId="172" fontId="93" fillId="34" borderId="0" xfId="0" applyNumberFormat="1" applyFont="1" applyFill="1" applyAlignment="1">
      <alignment horizontal="center" vertical="center"/>
    </xf>
    <xf numFmtId="3" fontId="93" fillId="34" borderId="0" xfId="0" applyNumberFormat="1" applyFont="1" applyFill="1" applyAlignment="1">
      <alignment vertical="center" wrapText="1"/>
    </xf>
    <xf numFmtId="3" fontId="93" fillId="34" borderId="0" xfId="0" applyNumberFormat="1" applyFont="1" applyFill="1" applyAlignment="1">
      <alignment horizontal="right" vertical="center" wrapText="1"/>
    </xf>
    <xf numFmtId="3" fontId="94" fillId="34" borderId="0" xfId="0" applyNumberFormat="1" applyFont="1" applyFill="1" applyAlignment="1">
      <alignment horizontal="right" vertical="center" wrapText="1"/>
    </xf>
    <xf numFmtId="3" fontId="37" fillId="34" borderId="38" xfId="0" applyNumberFormat="1" applyFont="1" applyFill="1" applyBorder="1" applyAlignment="1">
      <alignment horizontal="right" vertical="center" wrapText="1"/>
    </xf>
    <xf numFmtId="3" fontId="36" fillId="34" borderId="0" xfId="0" applyNumberFormat="1" applyFont="1" applyFill="1" applyAlignment="1">
      <alignment horizontal="right" vertical="center" wrapText="1"/>
    </xf>
    <xf numFmtId="0" fontId="93" fillId="34" borderId="0" xfId="0" applyFont="1" applyFill="1" applyAlignment="1">
      <alignment horizontal="center"/>
    </xf>
    <xf numFmtId="3" fontId="37" fillId="24" borderId="52" xfId="0" applyNumberFormat="1" applyFont="1" applyFill="1" applyBorder="1" applyAlignment="1">
      <alignment horizontal="center" vertical="center" wrapText="1"/>
    </xf>
    <xf numFmtId="3" fontId="37" fillId="28" borderId="52" xfId="0" applyNumberFormat="1" applyFont="1" applyFill="1" applyBorder="1" applyAlignment="1">
      <alignment horizontal="right" vertical="center" wrapText="1"/>
    </xf>
    <xf numFmtId="3" fontId="37" fillId="27" borderId="52" xfId="0" applyNumberFormat="1" applyFont="1" applyFill="1" applyBorder="1" applyAlignment="1">
      <alignment horizontal="right" vertical="center" wrapText="1"/>
    </xf>
    <xf numFmtId="3" fontId="36" fillId="34" borderId="52" xfId="0" applyNumberFormat="1" applyFont="1" applyFill="1" applyBorder="1" applyAlignment="1">
      <alignment horizontal="right" vertical="center" wrapText="1"/>
    </xf>
    <xf numFmtId="3" fontId="73" fillId="34" borderId="52" xfId="0" applyNumberFormat="1" applyFont="1" applyFill="1" applyBorder="1" applyAlignment="1">
      <alignment horizontal="right" vertical="center" wrapText="1"/>
    </xf>
    <xf numFmtId="3" fontId="75" fillId="34" borderId="52" xfId="0" applyNumberFormat="1" applyFont="1" applyFill="1" applyBorder="1" applyAlignment="1">
      <alignment horizontal="right" vertical="center" wrapText="1"/>
    </xf>
    <xf numFmtId="3" fontId="73" fillId="0" borderId="52" xfId="0" applyNumberFormat="1" applyFont="1" applyBorder="1" applyAlignment="1">
      <alignment horizontal="right" vertical="center" wrapText="1"/>
    </xf>
    <xf numFmtId="3" fontId="36" fillId="29" borderId="52" xfId="0" applyNumberFormat="1" applyFont="1" applyFill="1" applyBorder="1" applyAlignment="1">
      <alignment horizontal="right" vertical="center" wrapText="1"/>
    </xf>
    <xf numFmtId="172" fontId="93" fillId="34" borderId="0" xfId="0" applyNumberFormat="1" applyFont="1" applyFill="1" applyAlignment="1">
      <alignment horizontal="center" vertical="center" wrapText="1"/>
    </xf>
    <xf numFmtId="3" fontId="36" fillId="0" borderId="86" xfId="0" applyNumberFormat="1" applyFont="1" applyBorder="1" applyAlignment="1">
      <alignment horizontal="right" vertical="center" wrapText="1"/>
    </xf>
    <xf numFmtId="0" fontId="36" fillId="0" borderId="23" xfId="0" applyFont="1" applyBorder="1" applyAlignment="1">
      <alignment vertical="center" wrapText="1"/>
    </xf>
    <xf numFmtId="173" fontId="36" fillId="0" borderId="23" xfId="0" applyNumberFormat="1" applyFont="1" applyBorder="1" applyAlignment="1">
      <alignment horizontal="right" vertical="center" wrapText="1"/>
    </xf>
    <xf numFmtId="0" fontId="37" fillId="34" borderId="0" xfId="0" applyFont="1" applyFill="1" applyAlignment="1">
      <alignment horizontal="center" vertical="center" wrapText="1"/>
    </xf>
    <xf numFmtId="0" fontId="37" fillId="34" borderId="0" xfId="0" applyFont="1" applyFill="1" applyAlignment="1">
      <alignment horizontal="left" vertical="center" wrapText="1"/>
    </xf>
    <xf numFmtId="3" fontId="37" fillId="34" borderId="0" xfId="0" applyNumberFormat="1" applyFont="1" applyFill="1" applyAlignment="1">
      <alignment horizontal="right" vertical="center" wrapText="1"/>
    </xf>
    <xf numFmtId="173" fontId="37" fillId="34" borderId="0" xfId="0" applyNumberFormat="1" applyFont="1" applyFill="1" applyAlignment="1">
      <alignment horizontal="right" vertical="center" wrapText="1"/>
    </xf>
    <xf numFmtId="49" fontId="94" fillId="0" borderId="12" xfId="0" applyNumberFormat="1" applyFont="1" applyBorder="1" applyAlignment="1">
      <alignment horizontal="center" vertical="center" wrapText="1"/>
    </xf>
    <xf numFmtId="3" fontId="37" fillId="0" borderId="0" xfId="0" applyNumberFormat="1" applyFont="1" applyAlignment="1">
      <alignment horizontal="right" vertical="center" wrapText="1"/>
    </xf>
    <xf numFmtId="3" fontId="75" fillId="0" borderId="52" xfId="0" applyNumberFormat="1" applyFont="1" applyBorder="1" applyAlignment="1">
      <alignment horizontal="right" vertical="center" wrapText="1"/>
    </xf>
    <xf numFmtId="172" fontId="93" fillId="0" borderId="0" xfId="0" applyNumberFormat="1" applyFont="1" applyAlignment="1">
      <alignment horizontal="center" vertical="center"/>
    </xf>
    <xf numFmtId="172" fontId="93" fillId="0" borderId="0" xfId="0" applyNumberFormat="1" applyFont="1" applyAlignment="1">
      <alignment horizontal="center" vertical="center" wrapText="1"/>
    </xf>
    <xf numFmtId="3" fontId="93" fillId="0" borderId="0" xfId="0" applyNumberFormat="1" applyFont="1" applyAlignment="1">
      <alignment horizontal="right" vertical="center" wrapText="1"/>
    </xf>
    <xf numFmtId="3" fontId="94" fillId="0" borderId="0" xfId="0" applyNumberFormat="1" applyFont="1" applyAlignment="1">
      <alignment horizontal="right" vertical="center" wrapText="1"/>
    </xf>
    <xf numFmtId="3" fontId="37" fillId="0" borderId="52" xfId="0" applyNumberFormat="1" applyFont="1" applyBorder="1" applyAlignment="1">
      <alignment horizontal="right" vertical="center" wrapText="1"/>
    </xf>
    <xf numFmtId="3" fontId="37" fillId="0" borderId="38" xfId="0" applyNumberFormat="1" applyFont="1" applyBorder="1" applyAlignment="1">
      <alignment horizontal="right" vertical="center" wrapText="1"/>
    </xf>
    <xf numFmtId="3" fontId="37" fillId="0" borderId="38" xfId="0" applyNumberFormat="1" applyFont="1" applyBorder="1" applyAlignment="1">
      <alignment horizontal="center" vertical="center"/>
    </xf>
    <xf numFmtId="173" fontId="37" fillId="0" borderId="0" xfId="0" applyNumberFormat="1" applyFont="1" applyAlignment="1">
      <alignment horizontal="right" vertical="center" wrapText="1"/>
    </xf>
    <xf numFmtId="0" fontId="37" fillId="0" borderId="18" xfId="0" applyFont="1" applyBorder="1" applyAlignment="1">
      <alignment horizontal="center" vertical="center"/>
    </xf>
    <xf numFmtId="49" fontId="37" fillId="0" borderId="18" xfId="0" applyNumberFormat="1" applyFont="1" applyBorder="1" applyAlignment="1">
      <alignment horizontal="center" vertical="center"/>
    </xf>
    <xf numFmtId="0" fontId="37" fillId="0" borderId="33" xfId="0" applyFont="1" applyBorder="1" applyAlignment="1">
      <alignment horizontal="center" vertical="center"/>
    </xf>
    <xf numFmtId="49" fontId="37" fillId="0" borderId="33" xfId="0" applyNumberFormat="1" applyFont="1" applyBorder="1" applyAlignment="1">
      <alignment horizontal="center" vertical="center"/>
    </xf>
    <xf numFmtId="0" fontId="37" fillId="0" borderId="12" xfId="0" applyFont="1" applyBorder="1" applyAlignment="1">
      <alignment horizontal="center" vertical="center" wrapText="1"/>
    </xf>
    <xf numFmtId="0" fontId="37" fillId="0" borderId="38" xfId="0" applyFont="1" applyBorder="1" applyAlignment="1">
      <alignment horizontal="center" vertical="center"/>
    </xf>
    <xf numFmtId="49" fontId="37" fillId="0" borderId="38" xfId="0" applyNumberFormat="1" applyFont="1" applyBorder="1" applyAlignment="1">
      <alignment horizontal="center" vertical="center"/>
    </xf>
    <xf numFmtId="4" fontId="37" fillId="0" borderId="38" xfId="0" applyNumberFormat="1" applyFont="1" applyBorder="1" applyAlignment="1">
      <alignment horizontal="center" vertical="center" wrapText="1"/>
    </xf>
    <xf numFmtId="173" fontId="37" fillId="0" borderId="38" xfId="0" applyNumberFormat="1" applyFont="1" applyBorder="1" applyAlignment="1">
      <alignment horizontal="right" vertical="center" wrapText="1"/>
    </xf>
    <xf numFmtId="4" fontId="37" fillId="0" borderId="38" xfId="0" applyNumberFormat="1" applyFont="1" applyBorder="1" applyAlignment="1">
      <alignment horizontal="center" vertical="center"/>
    </xf>
    <xf numFmtId="1" fontId="36" fillId="0" borderId="38" xfId="0" applyNumberFormat="1" applyFont="1" applyBorder="1" applyAlignment="1">
      <alignment horizontal="center" vertical="center" wrapText="1"/>
    </xf>
    <xf numFmtId="3" fontId="36" fillId="0" borderId="38" xfId="262" applyNumberFormat="1" applyFont="1" applyFill="1" applyBorder="1" applyAlignment="1">
      <alignment horizontal="right" vertical="center" wrapText="1"/>
    </xf>
    <xf numFmtId="3" fontId="71" fillId="0" borderId="38" xfId="0" applyNumberFormat="1" applyFont="1" applyBorder="1" applyAlignment="1">
      <alignment horizontal="right" vertical="center" wrapText="1"/>
    </xf>
    <xf numFmtId="0" fontId="36" fillId="0" borderId="38" xfId="0" applyFont="1" applyBorder="1" applyAlignment="1">
      <alignment horizontal="center" vertical="center"/>
    </xf>
    <xf numFmtId="0" fontId="95" fillId="0" borderId="0" xfId="0" applyFont="1" applyAlignment="1">
      <alignment horizontal="center" vertical="center" wrapText="1"/>
    </xf>
    <xf numFmtId="0" fontId="95" fillId="0" borderId="38" xfId="0" applyFont="1" applyBorder="1" applyAlignment="1">
      <alignment horizontal="center" vertical="center" wrapText="1"/>
    </xf>
    <xf numFmtId="0" fontId="95" fillId="0" borderId="38" xfId="0" applyFont="1" applyBorder="1" applyAlignment="1">
      <alignment horizontal="left" vertical="center" wrapText="1"/>
    </xf>
    <xf numFmtId="1" fontId="95" fillId="0" borderId="38" xfId="0" applyNumberFormat="1" applyFont="1" applyBorder="1" applyAlignment="1">
      <alignment horizontal="center" vertical="center" wrapText="1"/>
    </xf>
    <xf numFmtId="49" fontId="95" fillId="0" borderId="38" xfId="0" applyNumberFormat="1" applyFont="1" applyBorder="1" applyAlignment="1">
      <alignment horizontal="center" vertical="center" wrapText="1"/>
    </xf>
    <xf numFmtId="166" fontId="95" fillId="0" borderId="38" xfId="0" applyNumberFormat="1" applyFont="1" applyBorder="1" applyAlignment="1">
      <alignment horizontal="center" vertical="center" wrapText="1"/>
    </xf>
    <xf numFmtId="3" fontId="95" fillId="0" borderId="38" xfId="262" applyNumberFormat="1" applyFont="1" applyFill="1" applyBorder="1" applyAlignment="1">
      <alignment horizontal="right" vertical="center" wrapText="1"/>
    </xf>
    <xf numFmtId="3" fontId="95" fillId="0" borderId="38" xfId="0" applyNumberFormat="1" applyFont="1" applyBorder="1" applyAlignment="1">
      <alignment horizontal="right" vertical="center" wrapText="1"/>
    </xf>
    <xf numFmtId="0" fontId="95" fillId="0" borderId="38" xfId="0" applyFont="1" applyBorder="1" applyAlignment="1">
      <alignment vertical="center" wrapText="1"/>
    </xf>
    <xf numFmtId="173" fontId="37" fillId="0" borderId="38" xfId="0" applyNumberFormat="1" applyFont="1" applyBorder="1" applyAlignment="1">
      <alignment horizontal="left" vertical="center" wrapText="1"/>
    </xf>
    <xf numFmtId="0" fontId="95" fillId="34" borderId="38" xfId="0" applyFont="1" applyFill="1" applyBorder="1" applyAlignment="1">
      <alignment horizontal="center" vertical="center" wrapText="1"/>
    </xf>
    <xf numFmtId="0" fontId="95" fillId="34" borderId="38" xfId="0" applyFont="1" applyFill="1" applyBorder="1" applyAlignment="1">
      <alignment vertical="center" wrapText="1"/>
    </xf>
    <xf numFmtId="49" fontId="95" fillId="34" borderId="38" xfId="0" quotePrefix="1" applyNumberFormat="1" applyFont="1" applyFill="1" applyBorder="1" applyAlignment="1">
      <alignment horizontal="center" vertical="center" wrapText="1"/>
    </xf>
    <xf numFmtId="0" fontId="95" fillId="34" borderId="38" xfId="0" applyFont="1" applyFill="1" applyBorder="1" applyAlignment="1">
      <alignment horizontal="right" vertical="center" wrapText="1"/>
    </xf>
    <xf numFmtId="173" fontId="95" fillId="34" borderId="38" xfId="0" applyNumberFormat="1" applyFont="1" applyFill="1" applyBorder="1" applyAlignment="1">
      <alignment horizontal="right" vertical="center" wrapText="1"/>
    </xf>
    <xf numFmtId="3" fontId="95" fillId="34" borderId="38" xfId="0" applyNumberFormat="1" applyFont="1" applyFill="1" applyBorder="1" applyAlignment="1">
      <alignment horizontal="right" vertical="center" wrapText="1"/>
    </xf>
    <xf numFmtId="0" fontId="92" fillId="34" borderId="0" xfId="0" applyFont="1" applyFill="1" applyAlignment="1">
      <alignment horizontal="center" vertical="center" wrapText="1"/>
    </xf>
    <xf numFmtId="0" fontId="92" fillId="34" borderId="0" xfId="0" applyFont="1" applyFill="1" applyAlignment="1">
      <alignment horizontal="left" vertical="center" wrapText="1"/>
    </xf>
    <xf numFmtId="0" fontId="95" fillId="34" borderId="0" xfId="0" applyFont="1" applyFill="1" applyAlignment="1">
      <alignment horizontal="center" vertical="center" wrapText="1"/>
    </xf>
    <xf numFmtId="173" fontId="95" fillId="34" borderId="0" xfId="0" applyNumberFormat="1" applyFont="1" applyFill="1" applyAlignment="1">
      <alignment horizontal="right" vertical="center" wrapText="1"/>
    </xf>
    <xf numFmtId="3" fontId="95" fillId="34" borderId="0" xfId="0" applyNumberFormat="1" applyFont="1" applyFill="1" applyAlignment="1">
      <alignment horizontal="right" vertical="center" wrapText="1"/>
    </xf>
    <xf numFmtId="0" fontId="92" fillId="0" borderId="38" xfId="0" applyFont="1" applyBorder="1" applyAlignment="1">
      <alignment horizontal="left" vertical="center" wrapText="1"/>
    </xf>
    <xf numFmtId="0" fontId="92" fillId="0" borderId="38" xfId="0" applyFont="1" applyBorder="1" applyAlignment="1">
      <alignment horizontal="center" vertical="center" wrapText="1"/>
    </xf>
    <xf numFmtId="3" fontId="92" fillId="0" borderId="38" xfId="0" applyNumberFormat="1" applyFont="1" applyBorder="1" applyAlignment="1">
      <alignment horizontal="right" vertical="center" wrapText="1"/>
    </xf>
    <xf numFmtId="0" fontId="96" fillId="0" borderId="38" xfId="0" applyFont="1" applyBorder="1" applyAlignment="1">
      <alignment horizontal="center" vertical="center" wrapText="1"/>
    </xf>
    <xf numFmtId="0" fontId="96" fillId="0" borderId="38" xfId="0" applyFont="1" applyBorder="1" applyAlignment="1">
      <alignment vertical="center" wrapText="1"/>
    </xf>
    <xf numFmtId="3" fontId="39" fillId="0" borderId="38" xfId="0" applyNumberFormat="1" applyFont="1" applyBorder="1" applyAlignment="1">
      <alignment horizontal="right" vertical="center" wrapText="1"/>
    </xf>
    <xf numFmtId="0" fontId="93" fillId="0" borderId="0" xfId="0" applyFont="1" applyAlignment="1">
      <alignment horizontal="center"/>
    </xf>
    <xf numFmtId="0" fontId="93" fillId="0" borderId="0" xfId="0" applyFont="1" applyAlignment="1">
      <alignment horizontal="center" vertical="center"/>
    </xf>
    <xf numFmtId="0" fontId="93" fillId="0" borderId="0" xfId="0" applyFont="1" applyAlignment="1">
      <alignment horizontal="center" vertical="center" wrapText="1"/>
    </xf>
    <xf numFmtId="0" fontId="93" fillId="0" borderId="0" xfId="0" applyFont="1" applyAlignment="1">
      <alignment vertical="center" wrapText="1"/>
    </xf>
    <xf numFmtId="1" fontId="94" fillId="0" borderId="0" xfId="0" applyNumberFormat="1" applyFont="1" applyAlignment="1">
      <alignment horizontal="center" vertical="center" wrapText="1"/>
    </xf>
    <xf numFmtId="0" fontId="94" fillId="0" borderId="0" xfId="0" applyFont="1" applyAlignment="1">
      <alignment vertical="center" wrapText="1"/>
    </xf>
    <xf numFmtId="0" fontId="97" fillId="0" borderId="0" xfId="0" applyFont="1" applyAlignment="1">
      <alignment vertical="center" wrapText="1"/>
    </xf>
    <xf numFmtId="0" fontId="94" fillId="0" borderId="0" xfId="0" applyFont="1" applyAlignment="1">
      <alignment horizontal="center" vertical="center" wrapText="1"/>
    </xf>
    <xf numFmtId="3" fontId="37" fillId="0" borderId="18" xfId="0" applyNumberFormat="1" applyFont="1" applyBorder="1" applyAlignment="1">
      <alignment horizontal="center" vertical="center"/>
    </xf>
    <xf numFmtId="4" fontId="37" fillId="0" borderId="33" xfId="0" applyNumberFormat="1" applyFont="1" applyBorder="1" applyAlignment="1">
      <alignment horizontal="center" vertical="center"/>
    </xf>
    <xf numFmtId="3" fontId="28" fillId="0" borderId="49" xfId="0" applyNumberFormat="1" applyFont="1" applyBorder="1" applyAlignment="1">
      <alignment vertical="center"/>
    </xf>
    <xf numFmtId="0" fontId="30" fillId="0" borderId="61" xfId="0" applyFont="1" applyBorder="1" applyAlignment="1">
      <alignment vertical="center"/>
    </xf>
    <xf numFmtId="0" fontId="28" fillId="0" borderId="61" xfId="0" applyFont="1" applyBorder="1" applyAlignment="1">
      <alignment horizontal="center" vertical="center"/>
    </xf>
    <xf numFmtId="0" fontId="28" fillId="0" borderId="61" xfId="0" applyFont="1" applyBorder="1" applyAlignment="1">
      <alignment vertical="center"/>
    </xf>
    <xf numFmtId="165" fontId="28" fillId="0" borderId="61" xfId="261" applyNumberFormat="1" applyFont="1" applyBorder="1" applyAlignment="1">
      <alignment vertical="center"/>
    </xf>
    <xf numFmtId="3" fontId="28" fillId="0" borderId="61" xfId="0" applyNumberFormat="1" applyFont="1" applyBorder="1" applyAlignment="1">
      <alignment vertical="center"/>
    </xf>
    <xf numFmtId="172" fontId="28" fillId="0" borderId="61" xfId="0" applyNumberFormat="1" applyFont="1" applyBorder="1" applyAlignment="1">
      <alignment vertical="center"/>
    </xf>
    <xf numFmtId="3" fontId="28" fillId="0" borderId="62" xfId="0" applyNumberFormat="1" applyFont="1" applyBorder="1" applyAlignment="1">
      <alignment vertical="center"/>
    </xf>
    <xf numFmtId="0" fontId="28" fillId="0" borderId="60" xfId="0" applyFont="1" applyBorder="1" applyAlignment="1">
      <alignment horizontal="left" vertical="center" wrapText="1"/>
    </xf>
    <xf numFmtId="2" fontId="30" fillId="0" borderId="38" xfId="0" applyNumberFormat="1" applyFont="1" applyBorder="1" applyAlignment="1">
      <alignment horizontal="center" vertical="top" wrapText="1"/>
    </xf>
    <xf numFmtId="173" fontId="28" fillId="0" borderId="38" xfId="0" applyNumberFormat="1" applyFont="1" applyBorder="1" applyAlignment="1">
      <alignment vertical="center"/>
    </xf>
    <xf numFmtId="0" fontId="28" fillId="0" borderId="38" xfId="0" applyFont="1" applyBorder="1" applyAlignment="1">
      <alignment vertical="center" wrapText="1"/>
    </xf>
    <xf numFmtId="0" fontId="28" fillId="0" borderId="22" xfId="0" applyFont="1" applyBorder="1" applyAlignment="1">
      <alignment horizontal="left" vertical="center" wrapText="1"/>
    </xf>
    <xf numFmtId="9" fontId="28" fillId="0" borderId="22" xfId="0" applyNumberFormat="1" applyFont="1" applyBorder="1" applyAlignment="1">
      <alignment horizontal="center" vertical="center" wrapText="1"/>
    </xf>
    <xf numFmtId="165" fontId="28" fillId="0" borderId="22" xfId="261" applyNumberFormat="1" applyFont="1" applyBorder="1" applyAlignment="1">
      <alignment horizontal="right" vertical="center"/>
    </xf>
    <xf numFmtId="173" fontId="28" fillId="0" borderId="22" xfId="0" applyNumberFormat="1" applyFont="1" applyBorder="1" applyAlignment="1">
      <alignment horizontal="right" vertical="center"/>
    </xf>
    <xf numFmtId="3" fontId="28" fillId="0" borderId="22" xfId="0" applyNumberFormat="1" applyFont="1" applyBorder="1" applyAlignment="1">
      <alignment horizontal="right" vertical="center"/>
    </xf>
    <xf numFmtId="0" fontId="28" fillId="0" borderId="20" xfId="0" applyFont="1" applyBorder="1" applyAlignment="1">
      <alignment vertical="center"/>
    </xf>
    <xf numFmtId="3" fontId="30" fillId="30" borderId="88" xfId="0" applyNumberFormat="1" applyFont="1" applyFill="1" applyBorder="1" applyAlignment="1">
      <alignment vertical="center" wrapText="1"/>
    </xf>
    <xf numFmtId="3" fontId="30" fillId="30" borderId="89" xfId="0" applyNumberFormat="1" applyFont="1" applyFill="1" applyBorder="1" applyAlignment="1">
      <alignment vertical="center" wrapText="1"/>
    </xf>
    <xf numFmtId="3" fontId="35" fillId="29" borderId="27" xfId="0" applyNumberFormat="1" applyFont="1" applyFill="1" applyBorder="1" applyAlignment="1">
      <alignment horizontal="center" vertical="center"/>
    </xf>
    <xf numFmtId="3" fontId="35" fillId="29" borderId="43" xfId="0" applyNumberFormat="1" applyFont="1" applyFill="1" applyBorder="1" applyAlignment="1">
      <alignment horizontal="center" vertical="center"/>
    </xf>
    <xf numFmtId="173" fontId="28" fillId="0" borderId="27" xfId="0" applyNumberFormat="1" applyFont="1" applyBorder="1" applyAlignment="1">
      <alignment vertical="center"/>
    </xf>
    <xf numFmtId="173" fontId="28" fillId="0" borderId="43" xfId="0" applyNumberFormat="1" applyFont="1" applyBorder="1" applyAlignment="1">
      <alignment vertical="center"/>
    </xf>
    <xf numFmtId="0" fontId="33" fillId="29" borderId="38" xfId="0" applyFont="1" applyFill="1" applyBorder="1" applyAlignment="1">
      <alignment horizontal="left" vertical="center" wrapText="1"/>
    </xf>
    <xf numFmtId="172" fontId="28" fillId="0" borderId="47" xfId="0" applyNumberFormat="1" applyFont="1" applyBorder="1" applyAlignment="1">
      <alignment vertical="center"/>
    </xf>
    <xf numFmtId="3" fontId="28" fillId="0" borderId="48" xfId="0" applyNumberFormat="1" applyFont="1" applyBorder="1" applyAlignment="1">
      <alignment vertical="center"/>
    </xf>
    <xf numFmtId="177" fontId="67" fillId="24" borderId="38" xfId="0" applyNumberFormat="1" applyFont="1" applyFill="1" applyBorder="1" applyAlignment="1">
      <alignment horizontal="center" vertical="center" wrapText="1"/>
    </xf>
    <xf numFmtId="3" fontId="30" fillId="29" borderId="38" xfId="0" applyNumberFormat="1" applyFont="1" applyFill="1" applyBorder="1" applyAlignment="1">
      <alignment horizontal="right" vertical="center"/>
    </xf>
    <xf numFmtId="3" fontId="35" fillId="29" borderId="38" xfId="0" applyNumberFormat="1" applyFont="1" applyFill="1" applyBorder="1" applyAlignment="1">
      <alignment horizontal="right" vertical="center"/>
    </xf>
    <xf numFmtId="4" fontId="28" fillId="0" borderId="38" xfId="0" applyNumberFormat="1" applyFont="1" applyBorder="1" applyAlignment="1">
      <alignment vertical="center"/>
    </xf>
    <xf numFmtId="173" fontId="28" fillId="0" borderId="38" xfId="0" applyNumberFormat="1" applyFont="1" applyBorder="1" applyAlignment="1">
      <alignment horizontal="right" vertical="center"/>
    </xf>
    <xf numFmtId="4" fontId="28" fillId="0" borderId="38" xfId="0" applyNumberFormat="1" applyFont="1" applyBorder="1" applyAlignment="1">
      <alignment horizontal="right" vertical="center"/>
    </xf>
    <xf numFmtId="0" fontId="30" fillId="0" borderId="38" xfId="0" applyFont="1" applyBorder="1" applyAlignment="1">
      <alignment horizontal="center" vertical="center"/>
    </xf>
    <xf numFmtId="0" fontId="28" fillId="0" borderId="46" xfId="0" applyFont="1" applyBorder="1" applyAlignment="1">
      <alignment horizontal="center" vertical="center"/>
    </xf>
    <xf numFmtId="165" fontId="28" fillId="0" borderId="0" xfId="261" applyNumberFormat="1" applyFont="1" applyBorder="1" applyAlignment="1">
      <alignment vertical="center"/>
    </xf>
    <xf numFmtId="3" fontId="28" fillId="0" borderId="31" xfId="0" applyNumberFormat="1" applyFont="1" applyBorder="1" applyAlignment="1">
      <alignment horizontal="right" vertical="center"/>
    </xf>
    <xf numFmtId="172" fontId="28" fillId="0" borderId="60" xfId="0" applyNumberFormat="1" applyFont="1" applyBorder="1" applyAlignment="1">
      <alignment vertical="center"/>
    </xf>
    <xf numFmtId="3" fontId="28" fillId="0" borderId="64" xfId="0" applyNumberFormat="1" applyFont="1" applyBorder="1" applyAlignment="1">
      <alignment vertical="center"/>
    </xf>
    <xf numFmtId="172" fontId="66" fillId="0" borderId="60" xfId="0" applyNumberFormat="1" applyFont="1" applyBorder="1" applyAlignment="1">
      <alignment vertical="center"/>
    </xf>
    <xf numFmtId="0" fontId="91" fillId="0" borderId="45" xfId="0" applyFont="1" applyBorder="1" applyAlignment="1">
      <alignment horizontal="center" vertical="center" wrapText="1"/>
    </xf>
    <xf numFmtId="174" fontId="91" fillId="0" borderId="11" xfId="261" applyNumberFormat="1" applyFont="1" applyBorder="1" applyAlignment="1">
      <alignment horizontal="right" vertical="center" wrapText="1"/>
    </xf>
    <xf numFmtId="3" fontId="91" fillId="0" borderId="13" xfId="0" applyNumberFormat="1" applyFont="1" applyBorder="1" applyAlignment="1">
      <alignment horizontal="right" vertical="center" wrapText="1"/>
    </xf>
    <xf numFmtId="0" fontId="98" fillId="0" borderId="12" xfId="0" applyFont="1" applyBorder="1" applyAlignment="1">
      <alignment horizontal="center" vertical="center" wrapText="1"/>
    </xf>
    <xf numFmtId="0" fontId="98" fillId="0" borderId="27" xfId="0" applyFont="1" applyBorder="1" applyAlignment="1">
      <alignment horizontal="justify" vertical="center" wrapText="1"/>
    </xf>
    <xf numFmtId="0" fontId="98" fillId="0" borderId="42" xfId="0" applyFont="1" applyBorder="1" applyAlignment="1">
      <alignment horizontal="center" vertical="center" wrapText="1"/>
    </xf>
    <xf numFmtId="0" fontId="98" fillId="0" borderId="43" xfId="0" applyFont="1" applyBorder="1" applyAlignment="1">
      <alignment horizontal="center" vertical="center" wrapText="1"/>
    </xf>
    <xf numFmtId="3" fontId="98" fillId="0" borderId="11" xfId="0" applyNumberFormat="1" applyFont="1" applyBorder="1" applyAlignment="1">
      <alignment vertical="center" wrapText="1"/>
    </xf>
    <xf numFmtId="165" fontId="98" fillId="0" borderId="11" xfId="261" applyNumberFormat="1" applyFont="1" applyBorder="1" applyAlignment="1">
      <alignment horizontal="right" vertical="center" wrapText="1"/>
    </xf>
    <xf numFmtId="174" fontId="98" fillId="0" borderId="11" xfId="261" applyNumberFormat="1" applyFont="1" applyBorder="1" applyAlignment="1">
      <alignment horizontal="right" vertical="center" wrapText="1"/>
    </xf>
    <xf numFmtId="3" fontId="98" fillId="0" borderId="13" xfId="0" applyNumberFormat="1" applyFont="1" applyBorder="1" applyAlignment="1">
      <alignment horizontal="right" vertical="center" wrapText="1"/>
    </xf>
    <xf numFmtId="0" fontId="98" fillId="0" borderId="0" xfId="0" applyFont="1" applyAlignment="1">
      <alignment vertical="center" wrapText="1"/>
    </xf>
    <xf numFmtId="0" fontId="99" fillId="0" borderId="45" xfId="0" applyFont="1" applyBorder="1" applyAlignment="1">
      <alignment horizontal="center" vertical="center" wrapText="1"/>
    </xf>
    <xf numFmtId="0" fontId="99" fillId="0" borderId="11" xfId="0" applyFont="1" applyBorder="1" applyAlignment="1">
      <alignment horizontal="justify" vertical="center" wrapText="1"/>
    </xf>
    <xf numFmtId="0" fontId="99" fillId="0" borderId="11" xfId="0" applyFont="1" applyBorder="1" applyAlignment="1">
      <alignment horizontal="center" vertical="center" wrapText="1"/>
    </xf>
    <xf numFmtId="3" fontId="99" fillId="0" borderId="11" xfId="0" applyNumberFormat="1" applyFont="1" applyBorder="1" applyAlignment="1">
      <alignment vertical="center" wrapText="1"/>
    </xf>
    <xf numFmtId="165" fontId="99" fillId="0" borderId="11" xfId="261" applyNumberFormat="1" applyFont="1" applyBorder="1" applyAlignment="1">
      <alignment horizontal="right" vertical="center" wrapText="1"/>
    </xf>
    <xf numFmtId="174" fontId="99" fillId="0" borderId="11" xfId="261" applyNumberFormat="1" applyFont="1" applyBorder="1" applyAlignment="1">
      <alignment horizontal="right" vertical="center" wrapText="1"/>
    </xf>
    <xf numFmtId="0" fontId="99" fillId="0" borderId="0" xfId="0" applyFont="1" applyAlignment="1">
      <alignment vertical="center" wrapText="1"/>
    </xf>
    <xf numFmtId="0" fontId="99" fillId="0" borderId="46" xfId="0" applyFont="1" applyBorder="1" applyAlignment="1">
      <alignment horizontal="center" vertical="center" wrapText="1"/>
    </xf>
    <xf numFmtId="0" fontId="100" fillId="0" borderId="0" xfId="0" applyFont="1" applyAlignment="1">
      <alignment vertical="center" wrapText="1"/>
    </xf>
    <xf numFmtId="0" fontId="98" fillId="0" borderId="34" xfId="0" applyFont="1" applyBorder="1" applyAlignment="1">
      <alignment horizontal="center" vertical="center" wrapText="1"/>
    </xf>
    <xf numFmtId="0" fontId="98" fillId="0" borderId="11" xfId="0" applyFont="1" applyBorder="1" applyAlignment="1">
      <alignment horizontal="justify" vertical="center" wrapText="1"/>
    </xf>
    <xf numFmtId="0" fontId="98" fillId="0" borderId="11" xfId="0" applyFont="1" applyBorder="1" applyAlignment="1">
      <alignment horizontal="center" vertical="center" wrapText="1"/>
    </xf>
    <xf numFmtId="9" fontId="98" fillId="0" borderId="11" xfId="0" applyNumberFormat="1" applyFont="1" applyBorder="1" applyAlignment="1">
      <alignment horizontal="center" vertical="center" wrapText="1"/>
    </xf>
    <xf numFmtId="0" fontId="91" fillId="0" borderId="12" xfId="0" applyFont="1" applyBorder="1" applyAlignment="1">
      <alignment horizontal="center" vertical="center" wrapText="1"/>
    </xf>
    <xf numFmtId="0" fontId="91" fillId="0" borderId="0" xfId="0" applyFont="1" applyAlignment="1">
      <alignment vertical="center" wrapText="1"/>
    </xf>
    <xf numFmtId="0" fontId="101" fillId="0" borderId="0" xfId="0" applyFont="1" applyAlignment="1">
      <alignment vertical="center" wrapText="1"/>
    </xf>
    <xf numFmtId="0" fontId="35" fillId="25" borderId="50" xfId="0" applyFont="1" applyFill="1" applyBorder="1" applyAlignment="1">
      <alignment horizontal="center" vertical="center" wrapText="1"/>
    </xf>
    <xf numFmtId="4" fontId="99" fillId="0" borderId="13" xfId="0" applyNumberFormat="1" applyFont="1" applyBorder="1" applyAlignment="1">
      <alignment horizontal="right" vertical="center" wrapText="1"/>
    </xf>
    <xf numFmtId="4" fontId="98" fillId="0" borderId="13" xfId="0" applyNumberFormat="1" applyFont="1" applyBorder="1" applyAlignment="1">
      <alignment horizontal="right" vertical="center" wrapText="1"/>
    </xf>
    <xf numFmtId="4" fontId="35" fillId="0" borderId="20" xfId="0" applyNumberFormat="1" applyFont="1" applyBorder="1" applyAlignment="1">
      <alignment horizontal="right" vertical="center" wrapText="1"/>
    </xf>
    <xf numFmtId="176" fontId="28" fillId="0" borderId="11" xfId="261" applyNumberFormat="1" applyFont="1" applyBorder="1" applyAlignment="1">
      <alignment horizontal="right" vertical="center" wrapText="1"/>
    </xf>
    <xf numFmtId="0" fontId="32" fillId="0" borderId="27" xfId="0" applyFont="1" applyBorder="1" applyAlignment="1">
      <alignment horizontal="justify" vertical="center" wrapText="1"/>
    </xf>
    <xf numFmtId="0" fontId="32" fillId="0" borderId="42" xfId="0" applyFont="1" applyBorder="1" applyAlignment="1">
      <alignment horizontal="center" vertical="center" wrapText="1"/>
    </xf>
    <xf numFmtId="0" fontId="32" fillId="0" borderId="43" xfId="0" applyFont="1" applyBorder="1" applyAlignment="1">
      <alignment horizontal="center" vertical="center" wrapText="1"/>
    </xf>
    <xf numFmtId="3" fontId="32" fillId="0" borderId="11" xfId="0" applyNumberFormat="1" applyFont="1" applyBorder="1" applyAlignment="1">
      <alignment vertical="center" wrapText="1"/>
    </xf>
    <xf numFmtId="165" fontId="32" fillId="0" borderId="11" xfId="261" applyNumberFormat="1" applyFont="1" applyBorder="1" applyAlignment="1">
      <alignment horizontal="right" vertical="center" wrapText="1"/>
    </xf>
    <xf numFmtId="0" fontId="102" fillId="0" borderId="12" xfId="0" applyFont="1" applyBorder="1" applyAlignment="1">
      <alignment horizontal="center" vertical="center" wrapText="1"/>
    </xf>
    <xf numFmtId="0" fontId="102" fillId="0" borderId="27" xfId="0" applyFont="1" applyBorder="1" applyAlignment="1">
      <alignment horizontal="justify" vertical="center" wrapText="1"/>
    </xf>
    <xf numFmtId="0" fontId="30" fillId="29" borderId="33" xfId="0" applyFont="1" applyFill="1" applyBorder="1" applyAlignment="1">
      <alignment horizontal="left" vertical="center" wrapText="1"/>
    </xf>
    <xf numFmtId="0" fontId="30" fillId="29" borderId="84" xfId="0" applyFont="1" applyFill="1" applyBorder="1" applyAlignment="1">
      <alignment horizontal="center" vertical="center" wrapText="1"/>
    </xf>
    <xf numFmtId="4" fontId="28" fillId="0" borderId="11" xfId="0" applyNumberFormat="1" applyFont="1" applyBorder="1" applyAlignment="1">
      <alignment horizontal="right" vertical="center"/>
    </xf>
    <xf numFmtId="4" fontId="28" fillId="0" borderId="22" xfId="0" applyNumberFormat="1" applyFont="1" applyBorder="1" applyAlignment="1">
      <alignment horizontal="right" vertical="center"/>
    </xf>
    <xf numFmtId="0" fontId="37" fillId="0" borderId="52" xfId="0" applyFont="1" applyBorder="1" applyAlignment="1">
      <alignment horizontal="center" vertical="center" wrapText="1"/>
    </xf>
    <xf numFmtId="3" fontId="37" fillId="0" borderId="31" xfId="0" applyNumberFormat="1" applyFont="1" applyBorder="1" applyAlignment="1">
      <alignment horizontal="right" vertical="center" wrapText="1"/>
    </xf>
    <xf numFmtId="0" fontId="103" fillId="0" borderId="67" xfId="0" applyFont="1" applyBorder="1" applyAlignment="1">
      <alignment horizontal="center" vertical="center"/>
    </xf>
    <xf numFmtId="0" fontId="103" fillId="0" borderId="38" xfId="0" applyFont="1" applyBorder="1" applyAlignment="1">
      <alignment horizontal="center" vertical="center"/>
    </xf>
    <xf numFmtId="165" fontId="103" fillId="0" borderId="38" xfId="272" applyNumberFormat="1" applyFont="1" applyFill="1" applyBorder="1" applyAlignment="1">
      <alignment horizontal="center" vertical="center"/>
    </xf>
    <xf numFmtId="165" fontId="103" fillId="0" borderId="38" xfId="272" applyNumberFormat="1" applyFont="1" applyFill="1" applyBorder="1" applyAlignment="1">
      <alignment horizontal="center" vertical="center" wrapText="1"/>
    </xf>
    <xf numFmtId="178" fontId="103" fillId="0" borderId="38" xfId="272" applyNumberFormat="1" applyFont="1" applyFill="1" applyBorder="1" applyAlignment="1">
      <alignment horizontal="center" vertical="center" wrapText="1"/>
    </xf>
    <xf numFmtId="178" fontId="104" fillId="0" borderId="0" xfId="272" applyNumberFormat="1" applyFont="1" applyFill="1" applyBorder="1" applyAlignment="1">
      <alignment horizontal="center" vertical="center" wrapText="1"/>
    </xf>
    <xf numFmtId="0" fontId="105" fillId="0" borderId="0" xfId="0" applyFont="1"/>
    <xf numFmtId="0" fontId="103" fillId="0" borderId="0" xfId="0" applyFont="1" applyAlignment="1">
      <alignment horizontal="center"/>
    </xf>
    <xf numFmtId="0" fontId="103" fillId="0" borderId="0" xfId="0" applyFont="1"/>
    <xf numFmtId="0" fontId="104" fillId="0" borderId="0" xfId="0" applyFont="1" applyAlignment="1">
      <alignment horizontal="center" vertical="center" wrapText="1"/>
    </xf>
    <xf numFmtId="0" fontId="105" fillId="0" borderId="38" xfId="0" applyFont="1" applyBorder="1" applyAlignment="1">
      <alignment horizontal="center" vertical="center" wrapText="1"/>
    </xf>
    <xf numFmtId="0" fontId="105" fillId="0" borderId="38" xfId="0" applyFont="1" applyBorder="1" applyAlignment="1">
      <alignment vertical="center" wrapText="1"/>
    </xf>
    <xf numFmtId="3" fontId="105" fillId="0" borderId="38" xfId="262" applyNumberFormat="1" applyFont="1" applyFill="1" applyBorder="1" applyAlignment="1">
      <alignment horizontal="center" vertical="center" wrapText="1"/>
    </xf>
    <xf numFmtId="165" fontId="105" fillId="0" borderId="38" xfId="272" applyNumberFormat="1" applyFont="1" applyFill="1" applyBorder="1" applyAlignment="1">
      <alignment horizontal="right" vertical="center"/>
    </xf>
    <xf numFmtId="178" fontId="105" fillId="0" borderId="38" xfId="272" applyNumberFormat="1" applyFont="1" applyFill="1" applyBorder="1" applyAlignment="1">
      <alignment horizontal="right" vertical="center"/>
    </xf>
    <xf numFmtId="0" fontId="104" fillId="0" borderId="0" xfId="0" applyFont="1" applyAlignment="1">
      <alignment vertical="center" wrapText="1"/>
    </xf>
    <xf numFmtId="0" fontId="105" fillId="0" borderId="38" xfId="400" applyFont="1" applyBorder="1" applyAlignment="1">
      <alignment vertical="center" wrapText="1"/>
    </xf>
    <xf numFmtId="0" fontId="105" fillId="0" borderId="38" xfId="475" applyFont="1" applyBorder="1" applyAlignment="1">
      <alignment vertical="center" wrapText="1"/>
    </xf>
    <xf numFmtId="0" fontId="107" fillId="0" borderId="38" xfId="0" applyFont="1" applyBorder="1" applyAlignment="1">
      <alignment horizontal="center" vertical="center" wrapText="1"/>
    </xf>
    <xf numFmtId="0" fontId="107" fillId="0" borderId="38" xfId="400" applyFont="1" applyBorder="1" applyAlignment="1">
      <alignment vertical="center" wrapText="1"/>
    </xf>
    <xf numFmtId="3" fontId="107" fillId="0" borderId="38" xfId="262" applyNumberFormat="1" applyFont="1" applyFill="1" applyBorder="1" applyAlignment="1">
      <alignment horizontal="right" vertical="center" wrapText="1"/>
    </xf>
    <xf numFmtId="165" fontId="107" fillId="0" borderId="38" xfId="272" applyNumberFormat="1" applyFont="1" applyFill="1" applyBorder="1" applyAlignment="1">
      <alignment horizontal="right" vertical="center"/>
    </xf>
    <xf numFmtId="178" fontId="107" fillId="0" borderId="38" xfId="272" applyNumberFormat="1" applyFont="1" applyFill="1" applyBorder="1" applyAlignment="1">
      <alignment horizontal="right" vertical="center"/>
    </xf>
    <xf numFmtId="0" fontId="107" fillId="0" borderId="0" xfId="0" applyFont="1"/>
    <xf numFmtId="0" fontId="105" fillId="0" borderId="38" xfId="0" applyFont="1" applyBorder="1" applyAlignment="1">
      <alignment horizontal="left" vertical="center" wrapText="1"/>
    </xf>
    <xf numFmtId="3" fontId="103" fillId="0" borderId="38" xfId="0" applyNumberFormat="1" applyFont="1" applyBorder="1" applyAlignment="1">
      <alignment horizontal="center" vertical="center"/>
    </xf>
    <xf numFmtId="0" fontId="105" fillId="0" borderId="38" xfId="0" applyFont="1" applyBorder="1" applyAlignment="1">
      <alignment horizontal="justify" vertical="center" wrapText="1"/>
    </xf>
    <xf numFmtId="3" fontId="105" fillId="0" borderId="38" xfId="0" applyNumberFormat="1" applyFont="1" applyBorder="1" applyAlignment="1">
      <alignment horizontal="center" vertical="center"/>
    </xf>
    <xf numFmtId="3" fontId="105" fillId="0" borderId="38" xfId="262" applyNumberFormat="1" applyFont="1" applyFill="1" applyBorder="1" applyAlignment="1">
      <alignment horizontal="right" vertical="center" wrapText="1"/>
    </xf>
    <xf numFmtId="165" fontId="105" fillId="0" borderId="38" xfId="272" applyNumberFormat="1" applyFont="1" applyFill="1" applyBorder="1" applyAlignment="1">
      <alignment horizontal="center" vertical="center"/>
    </xf>
    <xf numFmtId="0" fontId="107" fillId="0" borderId="38" xfId="0" applyFont="1" applyBorder="1" applyAlignment="1">
      <alignment vertical="center" wrapText="1"/>
    </xf>
    <xf numFmtId="178" fontId="105" fillId="0" borderId="0" xfId="0" applyNumberFormat="1" applyFont="1" applyAlignment="1">
      <alignment horizontal="center" vertical="center"/>
    </xf>
    <xf numFmtId="3" fontId="107" fillId="0" borderId="38" xfId="262" applyNumberFormat="1" applyFont="1" applyFill="1" applyBorder="1" applyAlignment="1">
      <alignment horizontal="center" vertical="center" wrapText="1"/>
    </xf>
    <xf numFmtId="0" fontId="103" fillId="0" borderId="0" xfId="0" applyFont="1" applyAlignment="1">
      <alignment horizontal="center" vertical="center"/>
    </xf>
    <xf numFmtId="0" fontId="103" fillId="0" borderId="0" xfId="0" applyFont="1" applyAlignment="1">
      <alignment horizontal="left" vertical="center"/>
    </xf>
    <xf numFmtId="0" fontId="105" fillId="0" borderId="38" xfId="400" applyFont="1" applyBorder="1" applyAlignment="1">
      <alignment horizontal="left" vertical="center" wrapText="1"/>
    </xf>
    <xf numFmtId="0" fontId="105" fillId="0" borderId="0" xfId="0" applyFont="1" applyAlignment="1">
      <alignment wrapText="1"/>
    </xf>
    <xf numFmtId="3" fontId="105" fillId="0" borderId="38" xfId="0" applyNumberFormat="1" applyFont="1" applyBorder="1" applyAlignment="1">
      <alignment horizontal="center" vertical="center" wrapText="1"/>
    </xf>
    <xf numFmtId="172" fontId="105" fillId="0" borderId="38" xfId="0" applyNumberFormat="1" applyFont="1" applyBorder="1" applyAlignment="1">
      <alignment vertical="center" wrapText="1"/>
    </xf>
    <xf numFmtId="172" fontId="105" fillId="0" borderId="38" xfId="0" applyNumberFormat="1" applyFont="1" applyBorder="1" applyAlignment="1">
      <alignment horizontal="center" vertical="center" wrapText="1"/>
    </xf>
    <xf numFmtId="0" fontId="105" fillId="0" borderId="38" xfId="400" applyFont="1" applyBorder="1" applyAlignment="1">
      <alignment horizontal="justify" vertical="center" wrapText="1"/>
    </xf>
    <xf numFmtId="172" fontId="105" fillId="31" borderId="38" xfId="0" applyNumberFormat="1" applyFont="1" applyFill="1" applyBorder="1" applyAlignment="1">
      <alignment vertical="center" wrapText="1"/>
    </xf>
    <xf numFmtId="0" fontId="105" fillId="31" borderId="38" xfId="0" applyFont="1" applyFill="1" applyBorder="1" applyAlignment="1">
      <alignment horizontal="center" vertical="center"/>
    </xf>
    <xf numFmtId="0" fontId="105" fillId="31" borderId="38" xfId="0" applyFont="1" applyFill="1" applyBorder="1" applyAlignment="1">
      <alignment horizontal="center" vertical="center" wrapText="1"/>
    </xf>
    <xf numFmtId="3" fontId="105" fillId="31" borderId="38" xfId="262" applyNumberFormat="1" applyFont="1" applyFill="1" applyBorder="1" applyAlignment="1">
      <alignment horizontal="center" vertical="center" wrapText="1"/>
    </xf>
    <xf numFmtId="165" fontId="105" fillId="31" borderId="38" xfId="272" applyNumberFormat="1" applyFont="1" applyFill="1" applyBorder="1" applyAlignment="1">
      <alignment horizontal="right" vertical="center"/>
    </xf>
    <xf numFmtId="165" fontId="105" fillId="0" borderId="67" xfId="272" applyNumberFormat="1" applyFont="1" applyFill="1" applyBorder="1" applyAlignment="1">
      <alignment horizontal="right" vertical="center"/>
    </xf>
    <xf numFmtId="0" fontId="103" fillId="0" borderId="38" xfId="0" applyFont="1" applyBorder="1" applyAlignment="1">
      <alignment vertical="center"/>
    </xf>
    <xf numFmtId="0" fontId="105" fillId="0" borderId="38" xfId="0" applyFont="1" applyBorder="1"/>
    <xf numFmtId="0" fontId="105" fillId="0" borderId="38" xfId="0" applyFont="1" applyBorder="1" applyAlignment="1">
      <alignment horizontal="center" vertical="center"/>
    </xf>
    <xf numFmtId="178" fontId="105" fillId="0" borderId="38" xfId="0" applyNumberFormat="1" applyFont="1" applyBorder="1" applyAlignment="1">
      <alignment horizontal="center" vertical="center"/>
    </xf>
    <xf numFmtId="0" fontId="105" fillId="0" borderId="67" xfId="0" applyFont="1" applyBorder="1" applyAlignment="1">
      <alignment horizontal="center" vertical="center" wrapText="1"/>
    </xf>
    <xf numFmtId="0" fontId="105" fillId="0" borderId="38" xfId="400" applyFont="1" applyBorder="1" applyAlignment="1">
      <alignment horizontal="center" vertical="center" wrapText="1"/>
    </xf>
    <xf numFmtId="165" fontId="105" fillId="0" borderId="38" xfId="261" applyNumberFormat="1" applyFont="1" applyFill="1" applyBorder="1" applyAlignment="1">
      <alignment horizontal="center" vertical="center"/>
    </xf>
    <xf numFmtId="178" fontId="104" fillId="0" borderId="38" xfId="0" applyNumberFormat="1" applyFont="1" applyBorder="1" applyAlignment="1">
      <alignment horizontal="center" vertical="center" wrapText="1"/>
    </xf>
    <xf numFmtId="0" fontId="105" fillId="0" borderId="67" xfId="0" applyFont="1" applyBorder="1" applyAlignment="1">
      <alignment horizontal="center" vertical="center"/>
    </xf>
    <xf numFmtId="0" fontId="105" fillId="0" borderId="38" xfId="0" applyFont="1" applyBorder="1" applyAlignment="1">
      <alignment vertical="center"/>
    </xf>
    <xf numFmtId="0" fontId="105" fillId="0" borderId="0" xfId="0" applyFont="1" applyAlignment="1">
      <alignment vertical="center"/>
    </xf>
    <xf numFmtId="0" fontId="105" fillId="0" borderId="0" xfId="0" applyFont="1" applyAlignment="1">
      <alignment horizontal="center" vertical="center"/>
    </xf>
    <xf numFmtId="178" fontId="103" fillId="0" borderId="0" xfId="0" applyNumberFormat="1" applyFont="1" applyAlignment="1">
      <alignment horizontal="center" vertical="center"/>
    </xf>
    <xf numFmtId="3" fontId="91" fillId="0" borderId="38" xfId="0" applyNumberFormat="1" applyFont="1" applyBorder="1" applyAlignment="1">
      <alignment horizontal="right" vertical="center" wrapText="1"/>
    </xf>
    <xf numFmtId="0" fontId="70" fillId="0" borderId="38" xfId="0" applyFont="1" applyBorder="1" applyAlignment="1">
      <alignment horizontal="center" vertical="center" wrapText="1"/>
    </xf>
    <xf numFmtId="0" fontId="70" fillId="0" borderId="38" xfId="0" applyFont="1" applyBorder="1" applyAlignment="1">
      <alignment vertical="center" wrapText="1"/>
    </xf>
    <xf numFmtId="2" fontId="70" fillId="0" borderId="38" xfId="0" applyNumberFormat="1" applyFont="1" applyBorder="1" applyAlignment="1">
      <alignment horizontal="center" vertical="center" wrapText="1"/>
    </xf>
    <xf numFmtId="49" fontId="70" fillId="0" borderId="38" xfId="0" applyNumberFormat="1" applyFont="1" applyBorder="1" applyAlignment="1">
      <alignment horizontal="center" vertical="center" wrapText="1"/>
    </xf>
    <xf numFmtId="3" fontId="70" fillId="0" borderId="38" xfId="0" applyNumberFormat="1" applyFont="1" applyBorder="1" applyAlignment="1">
      <alignment vertical="center" wrapText="1"/>
    </xf>
    <xf numFmtId="1" fontId="71" fillId="34" borderId="38" xfId="0" applyNumberFormat="1" applyFont="1" applyFill="1" applyBorder="1" applyAlignment="1">
      <alignment horizontal="center" vertical="center" wrapText="1"/>
    </xf>
    <xf numFmtId="3" fontId="71" fillId="34" borderId="38" xfId="262" applyNumberFormat="1" applyFont="1" applyFill="1" applyBorder="1" applyAlignment="1">
      <alignment vertical="center" wrapText="1"/>
    </xf>
    <xf numFmtId="1" fontId="71" fillId="34" borderId="38" xfId="262" applyNumberFormat="1" applyFont="1" applyFill="1" applyBorder="1" applyAlignment="1">
      <alignment horizontal="center" vertical="center" wrapText="1"/>
    </xf>
    <xf numFmtId="4" fontId="71" fillId="34" borderId="38" xfId="0" applyNumberFormat="1" applyFont="1" applyFill="1" applyBorder="1" applyAlignment="1">
      <alignment horizontal="center" vertical="center" wrapText="1"/>
    </xf>
    <xf numFmtId="0" fontId="70" fillId="34" borderId="38" xfId="0" applyFont="1" applyFill="1" applyBorder="1" applyAlignment="1">
      <alignment horizontal="left" vertical="center" wrapText="1"/>
    </xf>
    <xf numFmtId="0" fontId="71" fillId="0" borderId="38" xfId="0" applyFont="1" applyBorder="1" applyAlignment="1">
      <alignment horizontal="justify" vertical="center" wrapText="1"/>
    </xf>
    <xf numFmtId="0" fontId="71" fillId="31" borderId="38" xfId="0" applyFont="1" applyFill="1" applyBorder="1" applyAlignment="1">
      <alignment horizontal="center" vertical="center" wrapText="1"/>
    </xf>
    <xf numFmtId="1" fontId="77" fillId="34" borderId="38" xfId="0" applyNumberFormat="1" applyFont="1" applyFill="1" applyBorder="1" applyAlignment="1">
      <alignment horizontal="center" vertical="center" wrapText="1"/>
    </xf>
    <xf numFmtId="1" fontId="71" fillId="0" borderId="38" xfId="0" applyNumberFormat="1" applyFont="1" applyBorder="1" applyAlignment="1">
      <alignment horizontal="center" vertical="center" wrapText="1"/>
    </xf>
    <xf numFmtId="1" fontId="71" fillId="0" borderId="38" xfId="262" applyNumberFormat="1" applyFont="1" applyFill="1" applyBorder="1" applyAlignment="1">
      <alignment horizontal="center" vertical="center" wrapText="1"/>
    </xf>
    <xf numFmtId="1" fontId="77" fillId="0" borderId="38" xfId="0" applyNumberFormat="1" applyFont="1" applyBorder="1" applyAlignment="1">
      <alignment horizontal="center" vertical="center" wrapText="1"/>
    </xf>
    <xf numFmtId="3" fontId="71" fillId="0" borderId="38" xfId="262" applyNumberFormat="1" applyFont="1" applyFill="1" applyBorder="1" applyAlignment="1">
      <alignment vertical="center" wrapText="1"/>
    </xf>
    <xf numFmtId="0" fontId="71" fillId="34" borderId="38" xfId="0" applyFont="1" applyFill="1" applyBorder="1" applyAlignment="1">
      <alignment horizontal="justify" vertical="center" wrapText="1"/>
    </xf>
    <xf numFmtId="0" fontId="70" fillId="0" borderId="38" xfId="0" applyFont="1" applyBorder="1" applyAlignment="1">
      <alignment horizontal="justify" vertical="center" wrapText="1"/>
    </xf>
    <xf numFmtId="0" fontId="108" fillId="0" borderId="38" xfId="0" applyFont="1" applyBorder="1" applyAlignment="1">
      <alignment horizontal="left" vertical="center" wrapText="1"/>
    </xf>
    <xf numFmtId="0" fontId="108" fillId="0" borderId="0" xfId="0" applyFont="1" applyAlignment="1">
      <alignment vertical="center" wrapText="1"/>
    </xf>
    <xf numFmtId="0" fontId="109" fillId="0" borderId="38" xfId="0" applyFont="1" applyBorder="1" applyAlignment="1">
      <alignment horizontal="left" vertical="center" wrapText="1"/>
    </xf>
    <xf numFmtId="0" fontId="109" fillId="0" borderId="0" xfId="0" applyFont="1" applyAlignment="1">
      <alignment vertical="center" wrapText="1"/>
    </xf>
    <xf numFmtId="49" fontId="37" fillId="31" borderId="38" xfId="0" applyNumberFormat="1" applyFont="1" applyFill="1" applyBorder="1" applyAlignment="1">
      <alignment horizontal="center" vertical="center" wrapText="1"/>
    </xf>
    <xf numFmtId="0" fontId="71" fillId="34" borderId="38" xfId="0" applyFont="1" applyFill="1" applyBorder="1" applyAlignment="1">
      <alignment horizontal="right" vertical="center" wrapText="1"/>
    </xf>
    <xf numFmtId="49" fontId="108" fillId="0" borderId="38" xfId="0" applyNumberFormat="1" applyFont="1" applyBorder="1" applyAlignment="1">
      <alignment horizontal="center" vertical="center" wrapText="1"/>
    </xf>
    <xf numFmtId="0" fontId="70" fillId="31" borderId="38" xfId="0" applyFont="1" applyFill="1" applyBorder="1" applyAlignment="1">
      <alignment horizontal="center" vertical="center" wrapText="1"/>
    </xf>
    <xf numFmtId="0" fontId="71" fillId="31" borderId="38" xfId="0" applyFont="1" applyFill="1" applyBorder="1" applyAlignment="1">
      <alignment vertical="center" wrapText="1"/>
    </xf>
    <xf numFmtId="166" fontId="71" fillId="34" borderId="38" xfId="0" applyNumberFormat="1" applyFont="1" applyFill="1" applyBorder="1" applyAlignment="1">
      <alignment vertical="center" wrapText="1"/>
    </xf>
    <xf numFmtId="0" fontId="78" fillId="31" borderId="0" xfId="0" applyFont="1" applyFill="1" applyAlignment="1">
      <alignment vertical="center" wrapText="1"/>
    </xf>
    <xf numFmtId="173" fontId="71" fillId="34" borderId="38" xfId="0" applyNumberFormat="1" applyFont="1" applyFill="1" applyBorder="1" applyAlignment="1">
      <alignment horizontal="center" vertical="center" wrapText="1"/>
    </xf>
    <xf numFmtId="166" fontId="70" fillId="0" borderId="38" xfId="0" applyNumberFormat="1" applyFont="1" applyBorder="1" applyAlignment="1">
      <alignment horizontal="center" vertical="center" wrapText="1"/>
    </xf>
    <xf numFmtId="173" fontId="71" fillId="34" borderId="38" xfId="0" applyNumberFormat="1" applyFont="1" applyFill="1" applyBorder="1" applyAlignment="1">
      <alignment vertical="center" wrapText="1"/>
    </xf>
    <xf numFmtId="0" fontId="110" fillId="0" borderId="38" xfId="0" applyFont="1" applyBorder="1" applyAlignment="1">
      <alignment horizontal="center" vertical="center" wrapText="1"/>
    </xf>
    <xf numFmtId="166" fontId="70" fillId="34" borderId="38" xfId="0" applyNumberFormat="1" applyFont="1" applyFill="1" applyBorder="1" applyAlignment="1">
      <alignment vertical="center" wrapText="1"/>
    </xf>
    <xf numFmtId="166" fontId="71" fillId="0" borderId="38" xfId="0" applyNumberFormat="1" applyFont="1" applyBorder="1" applyAlignment="1">
      <alignment horizontal="right" vertical="center" wrapText="1"/>
    </xf>
    <xf numFmtId="166" fontId="71" fillId="34" borderId="38" xfId="0" applyNumberFormat="1" applyFont="1" applyFill="1" applyBorder="1" applyAlignment="1">
      <alignment horizontal="right" vertical="center" wrapText="1"/>
    </xf>
    <xf numFmtId="166" fontId="70" fillId="0" borderId="38" xfId="0" applyNumberFormat="1" applyFont="1" applyBorder="1" applyAlignment="1">
      <alignment vertical="center" wrapText="1"/>
    </xf>
    <xf numFmtId="173" fontId="71" fillId="0" borderId="38" xfId="0" applyNumberFormat="1" applyFont="1" applyBorder="1" applyAlignment="1">
      <alignment horizontal="center" vertical="center" wrapText="1"/>
    </xf>
    <xf numFmtId="0" fontId="70" fillId="0" borderId="38" xfId="0" applyFont="1" applyBorder="1" applyAlignment="1">
      <alignment horizontal="right" vertical="center" wrapText="1"/>
    </xf>
    <xf numFmtId="0" fontId="110" fillId="0" borderId="38" xfId="0" applyFont="1" applyBorder="1" applyAlignment="1">
      <alignment vertical="center" wrapText="1"/>
    </xf>
    <xf numFmtId="0" fontId="110" fillId="0" borderId="38" xfId="0" applyFont="1" applyBorder="1" applyAlignment="1">
      <alignment horizontal="right" vertical="center" wrapText="1"/>
    </xf>
    <xf numFmtId="2" fontId="71" fillId="34" borderId="38" xfId="0" applyNumberFormat="1" applyFont="1" applyFill="1" applyBorder="1" applyAlignment="1">
      <alignment vertical="center" wrapText="1"/>
    </xf>
    <xf numFmtId="0" fontId="71" fillId="31" borderId="38" xfId="0" applyFont="1" applyFill="1" applyBorder="1" applyAlignment="1">
      <alignment horizontal="justify" vertical="center" wrapText="1"/>
    </xf>
    <xf numFmtId="4" fontId="71" fillId="0" borderId="38" xfId="0" applyNumberFormat="1" applyFont="1" applyBorder="1" applyAlignment="1">
      <alignment horizontal="center" vertical="center" wrapText="1"/>
    </xf>
    <xf numFmtId="166" fontId="70" fillId="0" borderId="38" xfId="0" applyNumberFormat="1" applyFont="1" applyBorder="1" applyAlignment="1">
      <alignment horizontal="right" vertical="center" wrapText="1"/>
    </xf>
    <xf numFmtId="0" fontId="71" fillId="0" borderId="38" xfId="0" applyFont="1" applyBorder="1" applyAlignment="1">
      <alignment horizontal="right" vertical="center" wrapText="1"/>
    </xf>
    <xf numFmtId="49" fontId="71" fillId="0" borderId="12" xfId="0" applyNumberFormat="1" applyFont="1" applyBorder="1" applyAlignment="1">
      <alignment horizontal="center" vertical="center" wrapText="1"/>
    </xf>
    <xf numFmtId="0" fontId="71" fillId="0" borderId="11" xfId="0" applyFont="1" applyBorder="1" applyAlignment="1">
      <alignment vertical="center" wrapText="1"/>
    </xf>
    <xf numFmtId="0" fontId="71" fillId="0" borderId="11" xfId="0" applyFont="1" applyBorder="1" applyAlignment="1">
      <alignment horizontal="center" vertical="center" wrapText="1"/>
    </xf>
    <xf numFmtId="2" fontId="71" fillId="0" borderId="11" xfId="0" applyNumberFormat="1" applyFont="1" applyBorder="1" applyAlignment="1">
      <alignment horizontal="center" vertical="center" wrapText="1"/>
    </xf>
    <xf numFmtId="49" fontId="71" fillId="0" borderId="11" xfId="0" applyNumberFormat="1" applyFont="1" applyBorder="1" applyAlignment="1">
      <alignment horizontal="center" vertical="center" wrapText="1"/>
    </xf>
    <xf numFmtId="3" fontId="71" fillId="0" borderId="13" xfId="0" applyNumberFormat="1" applyFont="1" applyBorder="1" applyAlignment="1">
      <alignment vertical="center" wrapText="1"/>
    </xf>
    <xf numFmtId="49" fontId="70" fillId="0" borderId="12" xfId="0" applyNumberFormat="1" applyFont="1" applyBorder="1" applyAlignment="1">
      <alignment horizontal="center" vertical="center" wrapText="1"/>
    </xf>
    <xf numFmtId="0" fontId="70" fillId="0" borderId="11" xfId="0" applyFont="1" applyBorder="1" applyAlignment="1">
      <alignment vertical="center" wrapText="1"/>
    </xf>
    <xf numFmtId="0" fontId="70" fillId="0" borderId="11" xfId="0" applyFont="1" applyBorder="1" applyAlignment="1">
      <alignment horizontal="center" vertical="center" wrapText="1"/>
    </xf>
    <xf numFmtId="2" fontId="70" fillId="0" borderId="11" xfId="0" applyNumberFormat="1" applyFont="1" applyBorder="1" applyAlignment="1">
      <alignment horizontal="center" vertical="center" wrapText="1"/>
    </xf>
    <xf numFmtId="0" fontId="28" fillId="31" borderId="38" xfId="0" applyFont="1" applyFill="1" applyBorder="1" applyAlignment="1">
      <alignment horizontal="center" vertical="center" wrapText="1"/>
    </xf>
    <xf numFmtId="0" fontId="28" fillId="31" borderId="38" xfId="0" applyFont="1" applyFill="1" applyBorder="1" applyAlignment="1">
      <alignment horizontal="justify" vertical="center" wrapText="1"/>
    </xf>
    <xf numFmtId="3" fontId="28" fillId="31" borderId="38" xfId="0" applyNumberFormat="1" applyFont="1" applyFill="1" applyBorder="1" applyAlignment="1">
      <alignment vertical="center"/>
    </xf>
    <xf numFmtId="173" fontId="28" fillId="31" borderId="38" xfId="0" applyNumberFormat="1" applyFont="1" applyFill="1" applyBorder="1" applyAlignment="1">
      <alignment horizontal="right" vertical="center" wrapText="1"/>
    </xf>
    <xf numFmtId="3" fontId="28" fillId="31" borderId="38" xfId="0" applyNumberFormat="1" applyFont="1" applyFill="1" applyBorder="1" applyAlignment="1">
      <alignment horizontal="right" vertical="center"/>
    </xf>
    <xf numFmtId="173" fontId="28" fillId="31" borderId="22" xfId="0" applyNumberFormat="1" applyFont="1" applyFill="1" applyBorder="1" applyAlignment="1">
      <alignment horizontal="right" vertical="center"/>
    </xf>
    <xf numFmtId="173" fontId="28" fillId="31" borderId="38" xfId="0" applyNumberFormat="1" applyFont="1" applyFill="1" applyBorder="1" applyAlignment="1">
      <alignment horizontal="right" vertical="center"/>
    </xf>
    <xf numFmtId="0" fontId="111" fillId="34" borderId="38" xfId="0" applyFont="1" applyFill="1" applyBorder="1" applyAlignment="1">
      <alignment vertical="center" wrapText="1"/>
    </xf>
    <xf numFmtId="0" fontId="111" fillId="0" borderId="38" xfId="0" applyFont="1" applyBorder="1" applyAlignment="1">
      <alignment vertical="center" wrapText="1"/>
    </xf>
    <xf numFmtId="9" fontId="37" fillId="24" borderId="38" xfId="0" applyNumberFormat="1" applyFont="1" applyFill="1" applyBorder="1" applyAlignment="1">
      <alignment horizontal="center" vertical="center" wrapText="1"/>
    </xf>
    <xf numFmtId="49" fontId="38" fillId="0" borderId="38" xfId="0" applyNumberFormat="1" applyFont="1" applyBorder="1" applyAlignment="1">
      <alignment horizontal="center" vertical="center" wrapText="1"/>
    </xf>
    <xf numFmtId="3" fontId="38" fillId="0" borderId="38" xfId="0" applyNumberFormat="1" applyFont="1" applyBorder="1" applyAlignment="1">
      <alignment horizontal="right" vertical="center" wrapText="1"/>
    </xf>
    <xf numFmtId="49" fontId="39" fillId="0" borderId="38" xfId="0" applyNumberFormat="1" applyFont="1" applyBorder="1" applyAlignment="1">
      <alignment horizontal="center" vertical="center" wrapText="1"/>
    </xf>
    <xf numFmtId="0" fontId="73" fillId="0" borderId="38" xfId="0" applyFont="1" applyBorder="1" applyAlignment="1">
      <alignment horizontal="left" vertical="center" wrapText="1"/>
    </xf>
    <xf numFmtId="0" fontId="74" fillId="0" borderId="38" xfId="0" applyFont="1" applyBorder="1" applyAlignment="1">
      <alignment horizontal="center" vertical="center" wrapText="1"/>
    </xf>
    <xf numFmtId="0" fontId="38" fillId="0" borderId="38" xfId="0" applyFont="1" applyBorder="1" applyAlignment="1">
      <alignment vertical="center" wrapText="1"/>
    </xf>
    <xf numFmtId="0" fontId="28" fillId="0" borderId="38" xfId="0" applyFont="1" applyBorder="1" applyAlignment="1">
      <alignment horizontal="left"/>
    </xf>
    <xf numFmtId="0" fontId="12" fillId="0" borderId="0" xfId="0" applyFont="1" applyAlignment="1">
      <alignment horizontal="center"/>
    </xf>
    <xf numFmtId="0" fontId="28" fillId="32" borderId="38" xfId="0" applyFont="1" applyFill="1" applyBorder="1" applyAlignment="1">
      <alignment horizontal="center" vertical="center" wrapText="1"/>
    </xf>
    <xf numFmtId="0" fontId="28" fillId="0" borderId="11" xfId="0" applyFont="1" applyBorder="1" applyAlignment="1">
      <alignment horizontal="center" vertical="center"/>
    </xf>
    <xf numFmtId="0" fontId="28" fillId="0" borderId="13" xfId="0" applyFont="1" applyBorder="1" applyAlignment="1">
      <alignment horizontal="center" vertical="center"/>
    </xf>
    <xf numFmtId="0" fontId="28" fillId="0" borderId="25" xfId="0" applyFont="1" applyBorder="1" applyAlignment="1">
      <alignment horizontal="center" vertical="center"/>
    </xf>
    <xf numFmtId="0" fontId="28" fillId="0" borderId="26" xfId="0" applyFont="1" applyBorder="1" applyAlignment="1">
      <alignment horizontal="center" vertical="center"/>
    </xf>
    <xf numFmtId="0" fontId="12" fillId="26" borderId="0" xfId="0" applyFont="1" applyFill="1" applyAlignment="1">
      <alignment horizontal="center" wrapText="1"/>
    </xf>
    <xf numFmtId="3" fontId="28" fillId="0" borderId="14" xfId="277" applyNumberFormat="1" applyFont="1" applyFill="1" applyBorder="1" applyAlignment="1">
      <alignment horizontal="center" vertical="center"/>
    </xf>
    <xf numFmtId="0" fontId="28" fillId="0" borderId="14" xfId="0" applyFont="1" applyBorder="1" applyAlignment="1">
      <alignment horizontal="center" vertical="center"/>
    </xf>
    <xf numFmtId="0" fontId="28" fillId="0" borderId="24" xfId="0" applyFont="1" applyBorder="1" applyAlignment="1">
      <alignment horizontal="center" vertical="center"/>
    </xf>
    <xf numFmtId="0" fontId="30" fillId="24" borderId="16" xfId="0" applyFont="1" applyFill="1" applyBorder="1" applyAlignment="1">
      <alignment horizontal="center" vertical="center" wrapText="1"/>
    </xf>
    <xf numFmtId="3" fontId="28" fillId="0" borderId="38" xfId="0" applyNumberFormat="1" applyFont="1" applyBorder="1" applyAlignment="1">
      <alignment horizontal="center" vertical="center"/>
    </xf>
    <xf numFmtId="3" fontId="30" fillId="24" borderId="16" xfId="0" applyNumberFormat="1" applyFont="1" applyFill="1" applyBorder="1" applyAlignment="1">
      <alignment horizontal="center" vertical="center" wrapText="1"/>
    </xf>
    <xf numFmtId="3" fontId="30" fillId="24" borderId="17" xfId="0" applyNumberFormat="1" applyFont="1" applyFill="1" applyBorder="1" applyAlignment="1">
      <alignment horizontal="center" vertical="center" wrapText="1"/>
    </xf>
    <xf numFmtId="3" fontId="30" fillId="24" borderId="38" xfId="0" applyNumberFormat="1" applyFont="1" applyFill="1" applyBorder="1" applyAlignment="1">
      <alignment horizontal="center" vertical="center" wrapText="1"/>
    </xf>
    <xf numFmtId="178" fontId="105" fillId="31" borderId="23" xfId="272" applyNumberFormat="1" applyFont="1" applyFill="1" applyBorder="1" applyAlignment="1">
      <alignment horizontal="center" vertical="center"/>
    </xf>
    <xf numFmtId="178" fontId="105" fillId="31" borderId="33" xfId="272" applyNumberFormat="1" applyFont="1" applyFill="1" applyBorder="1" applyAlignment="1">
      <alignment horizontal="center" vertical="center"/>
    </xf>
    <xf numFmtId="0" fontId="104" fillId="0" borderId="64" xfId="0" applyFont="1" applyBorder="1" applyAlignment="1">
      <alignment horizontal="center" vertical="center" wrapText="1"/>
    </xf>
    <xf numFmtId="0" fontId="73" fillId="0" borderId="27" xfId="0" applyFont="1" applyBorder="1" applyAlignment="1">
      <alignment horizontal="left" vertical="center" wrapText="1"/>
    </xf>
    <xf numFmtId="0" fontId="73" fillId="0" borderId="42" xfId="0" applyFont="1" applyBorder="1" applyAlignment="1">
      <alignment horizontal="left" vertical="center" wrapText="1"/>
    </xf>
    <xf numFmtId="0" fontId="73" fillId="0" borderId="43" xfId="0" applyFont="1" applyBorder="1" applyAlignment="1">
      <alignment horizontal="left" vertical="center" wrapText="1"/>
    </xf>
    <xf numFmtId="0" fontId="71" fillId="34" borderId="38" xfId="0" applyFont="1" applyFill="1" applyBorder="1" applyAlignment="1">
      <alignment horizontal="center" vertical="center" wrapText="1"/>
    </xf>
    <xf numFmtId="0" fontId="37" fillId="27" borderId="38" xfId="0" applyFont="1" applyFill="1" applyBorder="1" applyAlignment="1">
      <alignment horizontal="left" vertical="center" wrapText="1"/>
    </xf>
    <xf numFmtId="0" fontId="37" fillId="29" borderId="38" xfId="0" applyFont="1" applyFill="1" applyBorder="1" applyAlignment="1">
      <alignment horizontal="left" vertical="center" wrapText="1"/>
    </xf>
    <xf numFmtId="0" fontId="71" fillId="34" borderId="23" xfId="0" applyFont="1" applyFill="1" applyBorder="1" applyAlignment="1">
      <alignment horizontal="justify" vertical="center" wrapText="1"/>
    </xf>
    <xf numFmtId="0" fontId="71" fillId="34" borderId="61" xfId="0" applyFont="1" applyFill="1" applyBorder="1" applyAlignment="1">
      <alignment horizontal="justify" vertical="center" wrapText="1"/>
    </xf>
    <xf numFmtId="0" fontId="71" fillId="34" borderId="33" xfId="0" applyFont="1" applyFill="1" applyBorder="1" applyAlignment="1">
      <alignment horizontal="justify" vertical="center" wrapText="1"/>
    </xf>
    <xf numFmtId="49" fontId="71" fillId="34" borderId="23" xfId="0" applyNumberFormat="1" applyFont="1" applyFill="1" applyBorder="1" applyAlignment="1">
      <alignment horizontal="center" vertical="center" wrapText="1"/>
    </xf>
    <xf numFmtId="49" fontId="71" fillId="34" borderId="61" xfId="0" applyNumberFormat="1" applyFont="1" applyFill="1" applyBorder="1" applyAlignment="1">
      <alignment horizontal="center" vertical="center" wrapText="1"/>
    </xf>
    <xf numFmtId="49" fontId="71" fillId="34" borderId="33" xfId="0" applyNumberFormat="1" applyFont="1" applyFill="1" applyBorder="1" applyAlignment="1">
      <alignment horizontal="center" vertical="center" wrapText="1"/>
    </xf>
    <xf numFmtId="0" fontId="12" fillId="0" borderId="0" xfId="0" applyFont="1" applyAlignment="1">
      <alignment horizontal="center" vertical="center" wrapText="1"/>
    </xf>
    <xf numFmtId="0" fontId="30" fillId="0" borderId="0" xfId="0" applyFont="1" applyAlignment="1">
      <alignment horizontal="center" vertical="center" wrapText="1"/>
    </xf>
    <xf numFmtId="0" fontId="30" fillId="28" borderId="38" xfId="0" applyFont="1" applyFill="1" applyBorder="1" applyAlignment="1">
      <alignment vertical="center" wrapText="1"/>
    </xf>
    <xf numFmtId="0" fontId="37" fillId="27" borderId="38" xfId="0" applyFont="1" applyFill="1" applyBorder="1" applyAlignment="1">
      <alignment vertical="center" wrapText="1"/>
    </xf>
    <xf numFmtId="49" fontId="71" fillId="34" borderId="38" xfId="0" applyNumberFormat="1" applyFont="1" applyFill="1" applyBorder="1" applyAlignment="1">
      <alignment horizontal="center" vertical="center" wrapText="1"/>
    </xf>
    <xf numFmtId="0" fontId="73" fillId="0" borderId="27" xfId="0" applyFont="1" applyBorder="1" applyAlignment="1">
      <alignment vertical="center" wrapText="1"/>
    </xf>
    <xf numFmtId="0" fontId="73" fillId="0" borderId="42" xfId="0" applyFont="1" applyBorder="1" applyAlignment="1">
      <alignment vertical="center" wrapText="1"/>
    </xf>
    <xf numFmtId="0" fontId="73" fillId="0" borderId="43" xfId="0" applyFont="1" applyBorder="1" applyAlignment="1">
      <alignment vertical="center" wrapText="1"/>
    </xf>
    <xf numFmtId="0" fontId="30" fillId="28" borderId="38" xfId="0" applyFont="1" applyFill="1" applyBorder="1" applyAlignment="1">
      <alignment horizontal="left" vertical="center" wrapText="1"/>
    </xf>
    <xf numFmtId="0" fontId="89" fillId="27" borderId="38" xfId="0" applyFont="1" applyFill="1" applyBorder="1" applyAlignment="1">
      <alignment horizontal="left" vertical="center" wrapText="1"/>
    </xf>
    <xf numFmtId="0" fontId="30" fillId="0" borderId="38" xfId="0" applyFont="1" applyBorder="1" applyAlignment="1">
      <alignment horizontal="left" vertical="center" wrapText="1"/>
    </xf>
    <xf numFmtId="0" fontId="71" fillId="34" borderId="23" xfId="0" applyFont="1" applyFill="1" applyBorder="1" applyAlignment="1">
      <alignment horizontal="center" vertical="center" wrapText="1"/>
    </xf>
    <xf numFmtId="0" fontId="71" fillId="34" borderId="33" xfId="0" applyFont="1" applyFill="1" applyBorder="1" applyAlignment="1">
      <alignment horizontal="center" vertical="center" wrapText="1"/>
    </xf>
    <xf numFmtId="0" fontId="36" fillId="34" borderId="40" xfId="0" quotePrefix="1" applyFont="1" applyFill="1" applyBorder="1" applyAlignment="1">
      <alignment horizontal="left" vertical="center" wrapText="1"/>
    </xf>
    <xf numFmtId="0" fontId="36" fillId="34" borderId="90" xfId="0" applyFont="1" applyFill="1" applyBorder="1" applyAlignment="1">
      <alignment horizontal="left" vertical="center" wrapText="1"/>
    </xf>
    <xf numFmtId="0" fontId="36" fillId="34" borderId="85" xfId="0" applyFont="1" applyFill="1" applyBorder="1" applyAlignment="1">
      <alignment horizontal="left" vertical="center" wrapText="1"/>
    </xf>
    <xf numFmtId="0" fontId="36" fillId="34" borderId="27" xfId="0" applyFont="1" applyFill="1" applyBorder="1" applyAlignment="1">
      <alignment horizontal="left" vertical="center" wrapText="1"/>
    </xf>
    <xf numFmtId="0" fontId="36" fillId="34" borderId="42" xfId="0" applyFont="1" applyFill="1" applyBorder="1" applyAlignment="1">
      <alignment horizontal="left" vertical="center" wrapText="1"/>
    </xf>
    <xf numFmtId="0" fontId="36" fillId="34" borderId="43" xfId="0" applyFont="1" applyFill="1" applyBorder="1" applyAlignment="1">
      <alignment horizontal="left" vertical="center" wrapText="1"/>
    </xf>
    <xf numFmtId="0" fontId="36" fillId="34" borderId="27" xfId="0" quotePrefix="1" applyFont="1" applyFill="1" applyBorder="1" applyAlignment="1">
      <alignment horizontal="left" vertical="center" wrapText="1"/>
    </xf>
    <xf numFmtId="0" fontId="71" fillId="31" borderId="38" xfId="0" applyFont="1" applyFill="1" applyBorder="1" applyAlignment="1">
      <alignment horizontal="left" vertical="center" wrapText="1"/>
    </xf>
    <xf numFmtId="0" fontId="71" fillId="34" borderId="61" xfId="0" applyFont="1" applyFill="1" applyBorder="1" applyAlignment="1">
      <alignment horizontal="center" vertical="center" wrapText="1"/>
    </xf>
    <xf numFmtId="0" fontId="95" fillId="0" borderId="0" xfId="0" applyFont="1" applyAlignment="1">
      <alignment horizontal="left" vertical="center" wrapText="1"/>
    </xf>
    <xf numFmtId="0" fontId="92" fillId="0" borderId="38" xfId="0" applyFont="1" applyBorder="1" applyAlignment="1">
      <alignment horizontal="center" vertical="center" wrapText="1"/>
    </xf>
    <xf numFmtId="0" fontId="92" fillId="0" borderId="38" xfId="0" applyFont="1" applyBorder="1" applyAlignment="1">
      <alignment horizontal="left" vertical="center" wrapText="1"/>
    </xf>
    <xf numFmtId="0" fontId="73" fillId="0" borderId="0" xfId="0" applyFont="1" applyAlignment="1">
      <alignment horizontal="left" vertical="center" wrapText="1"/>
    </xf>
    <xf numFmtId="0" fontId="95" fillId="0" borderId="0" xfId="0" applyFont="1" applyAlignment="1">
      <alignment vertical="center" wrapText="1"/>
    </xf>
    <xf numFmtId="0" fontId="37" fillId="0" borderId="38" xfId="0" applyFont="1" applyBorder="1" applyAlignment="1">
      <alignment horizontal="left" vertical="center" wrapText="1"/>
    </xf>
    <xf numFmtId="0" fontId="37" fillId="0" borderId="38" xfId="0" applyFont="1" applyBorder="1" applyAlignment="1">
      <alignment horizontal="center" vertical="center"/>
    </xf>
    <xf numFmtId="49" fontId="37" fillId="0" borderId="38" xfId="0" applyNumberFormat="1" applyFont="1" applyBorder="1" applyAlignment="1">
      <alignment horizontal="center" vertical="center"/>
    </xf>
    <xf numFmtId="3" fontId="37" fillId="0" borderId="38" xfId="0" applyNumberFormat="1" applyFont="1" applyBorder="1" applyAlignment="1">
      <alignment horizontal="center" vertical="center" wrapText="1"/>
    </xf>
    <xf numFmtId="3" fontId="37" fillId="0" borderId="38" xfId="0" applyNumberFormat="1" applyFont="1" applyBorder="1" applyAlignment="1">
      <alignment horizontal="center" vertical="center"/>
    </xf>
    <xf numFmtId="49" fontId="37" fillId="0" borderId="38" xfId="0" applyNumberFormat="1" applyFont="1" applyBorder="1" applyAlignment="1">
      <alignment horizontal="center" vertical="center" wrapText="1"/>
    </xf>
    <xf numFmtId="0" fontId="37" fillId="0" borderId="38" xfId="0" applyFont="1" applyBorder="1" applyAlignment="1">
      <alignment horizontal="center" vertical="center" wrapText="1"/>
    </xf>
    <xf numFmtId="0" fontId="95" fillId="0" borderId="23" xfId="0" applyFont="1" applyBorder="1" applyAlignment="1">
      <alignment horizontal="left" vertical="center" wrapText="1"/>
    </xf>
    <xf numFmtId="0" fontId="95" fillId="0" borderId="61" xfId="0" applyFont="1" applyBorder="1" applyAlignment="1">
      <alignment horizontal="left" vertical="center" wrapText="1"/>
    </xf>
    <xf numFmtId="0" fontId="95" fillId="0" borderId="33" xfId="0" applyFont="1" applyBorder="1" applyAlignment="1">
      <alignment horizontal="left" vertical="center" wrapText="1"/>
    </xf>
    <xf numFmtId="0" fontId="95" fillId="0" borderId="23" xfId="0" applyFont="1" applyBorder="1" applyAlignment="1">
      <alignment horizontal="center" vertical="center" wrapText="1"/>
    </xf>
    <xf numFmtId="0" fontId="95" fillId="0" borderId="61" xfId="0" applyFont="1" applyBorder="1" applyAlignment="1">
      <alignment horizontal="center" vertical="center" wrapText="1"/>
    </xf>
    <xf numFmtId="0" fontId="95" fillId="0" borderId="33" xfId="0" applyFont="1" applyBorder="1" applyAlignment="1">
      <alignment horizontal="center" vertical="center" wrapText="1"/>
    </xf>
    <xf numFmtId="0" fontId="36" fillId="0" borderId="23" xfId="0" applyFont="1" applyBorder="1" applyAlignment="1">
      <alignment horizontal="center" vertical="center" wrapText="1"/>
    </xf>
    <xf numFmtId="0" fontId="36" fillId="0" borderId="61" xfId="0" applyFont="1" applyBorder="1" applyAlignment="1">
      <alignment horizontal="center" vertical="center" wrapText="1"/>
    </xf>
    <xf numFmtId="0" fontId="36" fillId="0" borderId="33" xfId="0" applyFont="1" applyBorder="1" applyAlignment="1">
      <alignment horizontal="center" vertical="center" wrapText="1"/>
    </xf>
    <xf numFmtId="0" fontId="36" fillId="0" borderId="23" xfId="0" applyFont="1" applyBorder="1" applyAlignment="1">
      <alignment horizontal="left" vertical="center" wrapText="1"/>
    </xf>
    <xf numFmtId="0" fontId="36" fillId="0" borderId="61" xfId="0" applyFont="1" applyBorder="1" applyAlignment="1">
      <alignment horizontal="left" vertical="center" wrapText="1"/>
    </xf>
    <xf numFmtId="0" fontId="36" fillId="0" borderId="33" xfId="0" applyFont="1" applyBorder="1" applyAlignment="1">
      <alignment horizontal="left" vertical="center" wrapText="1"/>
    </xf>
    <xf numFmtId="0" fontId="36" fillId="34" borderId="23" xfId="0" applyFont="1" applyFill="1" applyBorder="1" applyAlignment="1">
      <alignment horizontal="center" vertical="center" wrapText="1"/>
    </xf>
    <xf numFmtId="0" fontId="36" fillId="34" borderId="61" xfId="0" applyFont="1" applyFill="1" applyBorder="1" applyAlignment="1">
      <alignment horizontal="center" vertical="center" wrapText="1"/>
    </xf>
    <xf numFmtId="0" fontId="36" fillId="34" borderId="33" xfId="0" applyFont="1" applyFill="1" applyBorder="1" applyAlignment="1">
      <alignment horizontal="center" vertical="center" wrapText="1"/>
    </xf>
    <xf numFmtId="3" fontId="37" fillId="24" borderId="52" xfId="0" applyNumberFormat="1" applyFont="1" applyFill="1" applyBorder="1" applyAlignment="1">
      <alignment horizontal="center" vertical="center"/>
    </xf>
    <xf numFmtId="3" fontId="37" fillId="24" borderId="38" xfId="0" applyNumberFormat="1" applyFont="1" applyFill="1" applyBorder="1" applyAlignment="1">
      <alignment horizontal="center" vertical="center"/>
    </xf>
    <xf numFmtId="3" fontId="93" fillId="34" borderId="0" xfId="0" applyNumberFormat="1" applyFont="1" applyFill="1" applyAlignment="1">
      <alignment horizontal="center" vertical="center"/>
    </xf>
    <xf numFmtId="0" fontId="73" fillId="0" borderId="0" xfId="0" applyFont="1" applyAlignment="1">
      <alignment vertical="center" wrapText="1"/>
    </xf>
    <xf numFmtId="0" fontId="37" fillId="0" borderId="23" xfId="0" applyFont="1" applyBorder="1" applyAlignment="1">
      <alignment horizontal="center" vertical="center"/>
    </xf>
    <xf numFmtId="0" fontId="37" fillId="0" borderId="33" xfId="0" applyFont="1" applyBorder="1" applyAlignment="1">
      <alignment horizontal="center" vertical="center"/>
    </xf>
    <xf numFmtId="0" fontId="36" fillId="34" borderId="23" xfId="0" applyFont="1" applyFill="1" applyBorder="1" applyAlignment="1">
      <alignment horizontal="left" vertical="center" wrapText="1"/>
    </xf>
    <xf numFmtId="0" fontId="36" fillId="34" borderId="61" xfId="0" applyFont="1" applyFill="1" applyBorder="1" applyAlignment="1">
      <alignment horizontal="left" vertical="center" wrapText="1"/>
    </xf>
    <xf numFmtId="0" fontId="36" fillId="34" borderId="33" xfId="0" applyFont="1" applyFill="1" applyBorder="1" applyAlignment="1">
      <alignment horizontal="left" vertical="center" wrapText="1"/>
    </xf>
    <xf numFmtId="3" fontId="93" fillId="0" borderId="0" xfId="0" applyNumberFormat="1" applyFont="1" applyAlignment="1">
      <alignment horizontal="center" vertical="center"/>
    </xf>
    <xf numFmtId="0" fontId="36" fillId="0" borderId="0" xfId="0" applyFont="1" applyAlignment="1">
      <alignment vertical="center" wrapText="1"/>
    </xf>
    <xf numFmtId="0" fontId="37" fillId="0" borderId="91" xfId="0" applyFont="1" applyBorder="1" applyAlignment="1">
      <alignment horizontal="center" vertical="center"/>
    </xf>
    <xf numFmtId="0" fontId="37" fillId="0" borderId="51" xfId="0" applyFont="1" applyBorder="1" applyAlignment="1">
      <alignment horizontal="center" vertical="center"/>
    </xf>
    <xf numFmtId="49" fontId="37" fillId="0" borderId="18" xfId="0" applyNumberFormat="1" applyFont="1" applyBorder="1" applyAlignment="1">
      <alignment horizontal="center" vertical="center"/>
    </xf>
    <xf numFmtId="49" fontId="37" fillId="0" borderId="33" xfId="0" applyNumberFormat="1" applyFont="1" applyBorder="1" applyAlignment="1">
      <alignment horizontal="center" vertical="center"/>
    </xf>
    <xf numFmtId="3" fontId="37" fillId="0" borderId="18" xfId="0" applyNumberFormat="1" applyFont="1" applyBorder="1" applyAlignment="1">
      <alignment horizontal="center" vertical="center" wrapText="1"/>
    </xf>
    <xf numFmtId="3" fontId="37" fillId="0" borderId="33" xfId="0" applyNumberFormat="1" applyFont="1" applyBorder="1" applyAlignment="1">
      <alignment horizontal="center" vertical="center"/>
    </xf>
    <xf numFmtId="3" fontId="37" fillId="0" borderId="18" xfId="0" applyNumberFormat="1" applyFont="1" applyBorder="1" applyAlignment="1">
      <alignment horizontal="center" vertical="center"/>
    </xf>
    <xf numFmtId="3" fontId="37" fillId="24" borderId="92" xfId="0" applyNumberFormat="1" applyFont="1" applyFill="1" applyBorder="1" applyAlignment="1">
      <alignment horizontal="center" vertical="center"/>
    </xf>
    <xf numFmtId="3" fontId="37" fillId="24" borderId="88" xfId="0" applyNumberFormat="1" applyFont="1" applyFill="1" applyBorder="1" applyAlignment="1">
      <alignment horizontal="center" vertical="center"/>
    </xf>
    <xf numFmtId="3" fontId="37" fillId="24" borderId="89" xfId="0" applyNumberFormat="1" applyFont="1" applyFill="1" applyBorder="1" applyAlignment="1">
      <alignment horizontal="center" vertical="center"/>
    </xf>
    <xf numFmtId="0" fontId="30" fillId="24" borderId="94" xfId="0" applyFont="1" applyFill="1" applyBorder="1" applyAlignment="1">
      <alignment horizontal="center" vertical="center" wrapText="1"/>
    </xf>
    <xf numFmtId="0" fontId="30" fillId="24" borderId="21" xfId="0" applyFont="1" applyFill="1" applyBorder="1" applyAlignment="1">
      <alignment horizontal="center" vertical="center" wrapText="1"/>
    </xf>
    <xf numFmtId="0" fontId="30" fillId="24" borderId="55" xfId="0" applyFont="1" applyFill="1" applyBorder="1" applyAlignment="1">
      <alignment horizontal="center" vertical="center" wrapText="1"/>
    </xf>
    <xf numFmtId="0" fontId="30" fillId="24" borderId="22" xfId="0" applyFont="1" applyFill="1" applyBorder="1" applyAlignment="1">
      <alignment horizontal="center" vertical="center" wrapText="1"/>
    </xf>
    <xf numFmtId="165" fontId="30" fillId="24" borderId="55" xfId="261" applyNumberFormat="1" applyFont="1" applyFill="1" applyBorder="1" applyAlignment="1">
      <alignment horizontal="center" vertical="center" wrapText="1"/>
    </xf>
    <xf numFmtId="165" fontId="30" fillId="24" borderId="22" xfId="261" applyNumberFormat="1" applyFont="1" applyFill="1" applyBorder="1" applyAlignment="1">
      <alignment horizontal="center" vertical="center" wrapText="1"/>
    </xf>
    <xf numFmtId="0" fontId="28" fillId="0" borderId="36" xfId="0" applyFont="1" applyBorder="1" applyAlignment="1">
      <alignment horizontal="left" vertical="center" wrapText="1"/>
    </xf>
    <xf numFmtId="0" fontId="28" fillId="0" borderId="39" xfId="0" applyFont="1" applyBorder="1" applyAlignment="1">
      <alignment horizontal="left" vertical="center" wrapText="1"/>
    </xf>
    <xf numFmtId="165" fontId="30" fillId="24" borderId="14" xfId="261" applyNumberFormat="1" applyFont="1" applyFill="1" applyBorder="1" applyAlignment="1">
      <alignment horizontal="center" vertical="center" wrapText="1"/>
    </xf>
    <xf numFmtId="0" fontId="28" fillId="0" borderId="27" xfId="0" applyFont="1" applyBorder="1" applyAlignment="1">
      <alignment horizontal="left" vertical="center" wrapText="1"/>
    </xf>
    <xf numFmtId="0" fontId="28" fillId="0" borderId="42" xfId="0" applyFont="1" applyBorder="1" applyAlignment="1">
      <alignment horizontal="left" vertical="center" wrapText="1"/>
    </xf>
    <xf numFmtId="0" fontId="33" fillId="25" borderId="27" xfId="0" applyFont="1" applyFill="1" applyBorder="1" applyAlignment="1">
      <alignment horizontal="left" vertical="center" wrapText="1"/>
    </xf>
    <xf numFmtId="0" fontId="33" fillId="25" borderId="42" xfId="0" applyFont="1" applyFill="1" applyBorder="1" applyAlignment="1">
      <alignment horizontal="left" vertical="center" wrapText="1"/>
    </xf>
    <xf numFmtId="0" fontId="33" fillId="25" borderId="43" xfId="0" applyFont="1" applyFill="1" applyBorder="1" applyAlignment="1">
      <alignment horizontal="left" vertical="center" wrapText="1"/>
    </xf>
    <xf numFmtId="3" fontId="30" fillId="30" borderId="16" xfId="0" applyNumberFormat="1" applyFont="1" applyFill="1" applyBorder="1" applyAlignment="1">
      <alignment horizontal="center" vertical="center" wrapText="1"/>
    </xf>
    <xf numFmtId="3" fontId="30" fillId="30" borderId="17" xfId="0" applyNumberFormat="1" applyFont="1" applyFill="1" applyBorder="1" applyAlignment="1">
      <alignment horizontal="center" vertical="center" wrapText="1"/>
    </xf>
    <xf numFmtId="3" fontId="30" fillId="30" borderId="106" xfId="0" applyNumberFormat="1" applyFont="1" applyFill="1" applyBorder="1" applyAlignment="1">
      <alignment horizontal="center" vertical="center" wrapText="1"/>
    </xf>
    <xf numFmtId="3" fontId="30" fillId="30" borderId="107" xfId="0" applyNumberFormat="1" applyFont="1" applyFill="1" applyBorder="1" applyAlignment="1">
      <alignment horizontal="center" vertical="center" wrapText="1"/>
    </xf>
    <xf numFmtId="3" fontId="30" fillId="30" borderId="110" xfId="0" applyNumberFormat="1" applyFont="1" applyFill="1" applyBorder="1" applyAlignment="1">
      <alignment horizontal="center" vertical="center" wrapText="1"/>
    </xf>
    <xf numFmtId="3" fontId="30" fillId="30" borderId="35" xfId="0" applyNumberFormat="1" applyFont="1" applyFill="1" applyBorder="1" applyAlignment="1">
      <alignment horizontal="center" vertical="center" wrapText="1"/>
    </xf>
    <xf numFmtId="3" fontId="30" fillId="30" borderId="96" xfId="0" applyNumberFormat="1" applyFont="1" applyFill="1" applyBorder="1" applyAlignment="1">
      <alignment horizontal="center" vertical="center" wrapText="1"/>
    </xf>
    <xf numFmtId="3" fontId="30" fillId="30" borderId="111" xfId="0" applyNumberFormat="1" applyFont="1" applyFill="1" applyBorder="1" applyAlignment="1">
      <alignment horizontal="center" vertical="center" wrapText="1"/>
    </xf>
    <xf numFmtId="0" fontId="30" fillId="24" borderId="14" xfId="0" applyFont="1" applyFill="1" applyBorder="1" applyAlignment="1">
      <alignment horizontal="center" vertical="center" wrapText="1"/>
    </xf>
    <xf numFmtId="9" fontId="30" fillId="0" borderId="35" xfId="432" applyFont="1" applyBorder="1" applyAlignment="1">
      <alignment horizontal="center" vertical="center"/>
    </xf>
    <xf numFmtId="9" fontId="30" fillId="0" borderId="96" xfId="432" applyFont="1" applyBorder="1" applyAlignment="1">
      <alignment horizontal="center" vertical="center"/>
    </xf>
    <xf numFmtId="9" fontId="30" fillId="0" borderId="84" xfId="432" applyFont="1" applyBorder="1" applyAlignment="1">
      <alignment horizontal="center" vertical="center"/>
    </xf>
    <xf numFmtId="0" fontId="28" fillId="0" borderId="27" xfId="0" applyFont="1" applyBorder="1" applyAlignment="1">
      <alignment vertical="center" wrapText="1"/>
    </xf>
    <xf numFmtId="0" fontId="28" fillId="0" borderId="42" xfId="0" applyFont="1" applyBorder="1" applyAlignment="1">
      <alignment vertical="center" wrapText="1"/>
    </xf>
    <xf numFmtId="0" fontId="28" fillId="0" borderId="43" xfId="0" applyFont="1" applyBorder="1" applyAlignment="1">
      <alignment vertical="center" wrapText="1"/>
    </xf>
    <xf numFmtId="0" fontId="28" fillId="0" borderId="11" xfId="0" applyFont="1" applyBorder="1" applyAlignment="1">
      <alignment vertical="center" wrapText="1"/>
    </xf>
    <xf numFmtId="0" fontId="67" fillId="24" borderId="16" xfId="0" applyFont="1" applyFill="1" applyBorder="1" applyAlignment="1">
      <alignment horizontal="center" vertical="center" wrapText="1"/>
    </xf>
    <xf numFmtId="3" fontId="30" fillId="30" borderId="67" xfId="0" applyNumberFormat="1" applyFont="1" applyFill="1" applyBorder="1" applyAlignment="1">
      <alignment horizontal="center" vertical="center" wrapText="1"/>
    </xf>
    <xf numFmtId="3" fontId="30" fillId="30" borderId="95" xfId="0" applyNumberFormat="1" applyFont="1" applyFill="1" applyBorder="1" applyAlignment="1">
      <alignment horizontal="center" vertical="center" wrapText="1"/>
    </xf>
    <xf numFmtId="0" fontId="30" fillId="24" borderId="11" xfId="0" applyFont="1" applyFill="1" applyBorder="1" applyAlignment="1">
      <alignment horizontal="center" vertical="center" wrapText="1"/>
    </xf>
    <xf numFmtId="0" fontId="67" fillId="24" borderId="67" xfId="0" applyFont="1" applyFill="1" applyBorder="1" applyAlignment="1">
      <alignment horizontal="center" vertical="center" wrapText="1"/>
    </xf>
    <xf numFmtId="0" fontId="67" fillId="24" borderId="52" xfId="0" applyFont="1" applyFill="1" applyBorder="1" applyAlignment="1">
      <alignment horizontal="center" vertical="center" wrapText="1"/>
    </xf>
    <xf numFmtId="3" fontId="30" fillId="30" borderId="52" xfId="0" applyNumberFormat="1" applyFont="1" applyFill="1" applyBorder="1" applyAlignment="1">
      <alignment horizontal="center" vertical="center" wrapText="1"/>
    </xf>
    <xf numFmtId="3" fontId="30" fillId="30" borderId="65" xfId="0" applyNumberFormat="1" applyFont="1" applyFill="1" applyBorder="1" applyAlignment="1">
      <alignment horizontal="center" vertical="center" wrapText="1"/>
    </xf>
    <xf numFmtId="3" fontId="30" fillId="30" borderId="68" xfId="0" applyNumberFormat="1" applyFont="1" applyFill="1" applyBorder="1" applyAlignment="1">
      <alignment horizontal="center" vertical="center" wrapText="1"/>
    </xf>
    <xf numFmtId="0" fontId="30" fillId="24" borderId="38" xfId="0" applyFont="1" applyFill="1" applyBorder="1" applyAlignment="1">
      <alignment horizontal="center" vertical="center" wrapText="1"/>
    </xf>
    <xf numFmtId="165" fontId="30" fillId="24" borderId="38" xfId="261" applyNumberFormat="1" applyFont="1" applyFill="1" applyBorder="1" applyAlignment="1">
      <alignment horizontal="center" vertical="center" wrapText="1"/>
    </xf>
    <xf numFmtId="0" fontId="67" fillId="24" borderId="38" xfId="0" applyFont="1" applyFill="1" applyBorder="1" applyAlignment="1">
      <alignment horizontal="center" vertical="center" wrapText="1"/>
    </xf>
    <xf numFmtId="3" fontId="30" fillId="30" borderId="38" xfId="0" applyNumberFormat="1" applyFont="1" applyFill="1" applyBorder="1" applyAlignment="1">
      <alignment horizontal="center" vertical="center" wrapText="1"/>
    </xf>
    <xf numFmtId="0" fontId="28" fillId="0" borderId="48" xfId="0" applyFont="1" applyBorder="1" applyAlignment="1">
      <alignment vertical="center" wrapText="1"/>
    </xf>
    <xf numFmtId="0" fontId="28" fillId="0" borderId="97" xfId="0" applyFont="1" applyBorder="1" applyAlignment="1">
      <alignment vertical="center" wrapText="1"/>
    </xf>
    <xf numFmtId="0" fontId="28" fillId="0" borderId="98" xfId="0" applyFont="1" applyBorder="1" applyAlignment="1">
      <alignment vertical="center" wrapText="1"/>
    </xf>
    <xf numFmtId="0" fontId="30" fillId="24" borderId="34" xfId="0" applyFont="1" applyFill="1" applyBorder="1" applyAlignment="1">
      <alignment horizontal="center" vertical="center" wrapText="1"/>
    </xf>
    <xf numFmtId="0" fontId="30" fillId="24" borderId="12" xfId="0" applyFont="1" applyFill="1" applyBorder="1" applyAlignment="1">
      <alignment horizontal="center" vertical="center" wrapText="1"/>
    </xf>
    <xf numFmtId="0" fontId="28" fillId="0" borderId="38" xfId="0" applyFont="1" applyBorder="1" applyAlignment="1">
      <alignment horizontal="left" vertical="center" wrapText="1"/>
    </xf>
    <xf numFmtId="0" fontId="28" fillId="0" borderId="28" xfId="0" applyFont="1" applyBorder="1" applyAlignment="1">
      <alignment horizontal="left" vertical="center" wrapText="1"/>
    </xf>
    <xf numFmtId="0" fontId="28" fillId="0" borderId="87" xfId="0" applyFont="1" applyBorder="1" applyAlignment="1">
      <alignment horizontal="left" vertical="center" wrapText="1"/>
    </xf>
    <xf numFmtId="0" fontId="28" fillId="0" borderId="86" xfId="0" applyFont="1" applyBorder="1" applyAlignment="1">
      <alignment horizontal="left" vertical="center" wrapText="1"/>
    </xf>
    <xf numFmtId="0" fontId="28" fillId="0" borderId="64" xfId="0" applyFont="1" applyBorder="1" applyAlignment="1">
      <alignment horizontal="left" vertical="center" wrapText="1"/>
    </xf>
    <xf numFmtId="0" fontId="28" fillId="0" borderId="0" xfId="0" applyFont="1" applyAlignment="1">
      <alignment horizontal="left" vertical="center" wrapText="1"/>
    </xf>
    <xf numFmtId="0" fontId="28" fillId="0" borderId="60" xfId="0" applyFont="1" applyBorder="1" applyAlignment="1">
      <alignment horizontal="left" vertical="center" wrapText="1"/>
    </xf>
    <xf numFmtId="0" fontId="28" fillId="0" borderId="35" xfId="0" applyFont="1" applyBorder="1" applyAlignment="1">
      <alignment horizontal="left" vertical="center" wrapText="1"/>
    </xf>
    <xf numFmtId="0" fontId="28" fillId="0" borderId="96" xfId="0" applyFont="1" applyBorder="1" applyAlignment="1">
      <alignment horizontal="left" vertical="center" wrapText="1"/>
    </xf>
    <xf numFmtId="0" fontId="28" fillId="0" borderId="84" xfId="0" applyFont="1" applyBorder="1" applyAlignment="1">
      <alignment horizontal="left" vertical="center" wrapText="1"/>
    </xf>
    <xf numFmtId="165" fontId="30" fillId="24" borderId="11" xfId="261" applyNumberFormat="1" applyFont="1" applyFill="1" applyBorder="1" applyAlignment="1">
      <alignment horizontal="center" vertical="center" wrapText="1"/>
    </xf>
    <xf numFmtId="0" fontId="33" fillId="29" borderId="65" xfId="0" applyFont="1" applyFill="1" applyBorder="1" applyAlignment="1">
      <alignment horizontal="left" vertical="center" wrapText="1"/>
    </xf>
    <xf numFmtId="0" fontId="33" fillId="29" borderId="66" xfId="0" applyFont="1" applyFill="1" applyBorder="1" applyAlignment="1">
      <alignment horizontal="left" vertical="center" wrapText="1"/>
    </xf>
    <xf numFmtId="0" fontId="33" fillId="29" borderId="68" xfId="0" applyFont="1" applyFill="1" applyBorder="1" applyAlignment="1">
      <alignment horizontal="left" vertical="center" wrapText="1"/>
    </xf>
    <xf numFmtId="172" fontId="28" fillId="0" borderId="27" xfId="0" applyNumberFormat="1" applyFont="1" applyBorder="1" applyAlignment="1">
      <alignment horizontal="center" vertical="center"/>
    </xf>
    <xf numFmtId="172" fontId="28" fillId="0" borderId="42" xfId="0" applyNumberFormat="1" applyFont="1" applyBorder="1" applyAlignment="1">
      <alignment horizontal="center" vertical="center"/>
    </xf>
    <xf numFmtId="172" fontId="28" fillId="0" borderId="43" xfId="0" applyNumberFormat="1" applyFont="1" applyBorder="1" applyAlignment="1">
      <alignment horizontal="center" vertical="center"/>
    </xf>
    <xf numFmtId="0" fontId="28" fillId="0" borderId="40" xfId="0" applyFont="1" applyBorder="1" applyAlignment="1">
      <alignment horizontal="left" vertical="center" wrapText="1"/>
    </xf>
    <xf numFmtId="0" fontId="28" fillId="0" borderId="90" xfId="0" applyFont="1" applyBorder="1" applyAlignment="1">
      <alignment horizontal="left" vertical="center" wrapText="1"/>
    </xf>
    <xf numFmtId="0" fontId="28" fillId="0" borderId="85" xfId="0" applyFont="1" applyBorder="1" applyAlignment="1">
      <alignment horizontal="left" vertical="center" wrapText="1"/>
    </xf>
    <xf numFmtId="0" fontId="28" fillId="0" borderId="43" xfId="0" applyFont="1" applyBorder="1" applyAlignment="1">
      <alignment horizontal="left" vertical="center" wrapText="1"/>
    </xf>
    <xf numFmtId="0" fontId="67" fillId="24" borderId="106" xfId="0" applyFont="1" applyFill="1" applyBorder="1" applyAlignment="1">
      <alignment horizontal="center" vertical="center" wrapText="1"/>
    </xf>
    <xf numFmtId="0" fontId="67" fillId="24" borderId="107" xfId="0" applyFont="1" applyFill="1" applyBorder="1" applyAlignment="1">
      <alignment horizontal="center" vertical="center" wrapText="1"/>
    </xf>
    <xf numFmtId="0" fontId="67" fillId="24" borderId="100" xfId="0" applyFont="1" applyFill="1" applyBorder="1" applyAlignment="1">
      <alignment horizontal="center" vertical="center" wrapText="1"/>
    </xf>
    <xf numFmtId="0" fontId="67" fillId="24" borderId="35" xfId="0" applyFont="1" applyFill="1" applyBorder="1" applyAlignment="1">
      <alignment horizontal="center" vertical="center" wrapText="1"/>
    </xf>
    <xf numFmtId="0" fontId="67" fillId="24" borderId="96" xfId="0" applyFont="1" applyFill="1" applyBorder="1" applyAlignment="1">
      <alignment horizontal="center" vertical="center" wrapText="1"/>
    </xf>
    <xf numFmtId="0" fontId="67" fillId="24" borderId="84" xfId="0" applyFont="1" applyFill="1" applyBorder="1" applyAlignment="1">
      <alignment horizontal="center" vertical="center" wrapText="1"/>
    </xf>
    <xf numFmtId="3" fontId="28" fillId="0" borderId="19" xfId="0" applyNumberFormat="1" applyFont="1" applyBorder="1" applyAlignment="1">
      <alignment horizontal="center" vertical="center"/>
    </xf>
    <xf numFmtId="0" fontId="12" fillId="0" borderId="0" xfId="0" applyFont="1" applyAlignment="1">
      <alignment horizontal="center" vertical="center"/>
    </xf>
    <xf numFmtId="0" fontId="67" fillId="24" borderId="92" xfId="0" applyFont="1" applyFill="1" applyBorder="1" applyAlignment="1">
      <alignment horizontal="center" vertical="center" wrapText="1"/>
    </xf>
    <xf numFmtId="0" fontId="67" fillId="24" borderId="88" xfId="0" applyFont="1" applyFill="1" applyBorder="1" applyAlignment="1">
      <alignment horizontal="center" vertical="center" wrapText="1"/>
    </xf>
    <xf numFmtId="0" fontId="67" fillId="24" borderId="93" xfId="0" applyFont="1" applyFill="1" applyBorder="1" applyAlignment="1">
      <alignment horizontal="center" vertical="center" wrapText="1"/>
    </xf>
    <xf numFmtId="3" fontId="30" fillId="30" borderId="92" xfId="0" applyNumberFormat="1" applyFont="1" applyFill="1" applyBorder="1" applyAlignment="1">
      <alignment horizontal="center" vertical="center" wrapText="1"/>
    </xf>
    <xf numFmtId="3" fontId="30" fillId="30" borderId="88" xfId="0" applyNumberFormat="1" applyFont="1" applyFill="1" applyBorder="1" applyAlignment="1">
      <alignment horizontal="center" vertical="center" wrapText="1"/>
    </xf>
    <xf numFmtId="3" fontId="30" fillId="30" borderId="89" xfId="0" applyNumberFormat="1" applyFont="1" applyFill="1" applyBorder="1" applyAlignment="1">
      <alignment horizontal="center" vertical="center" wrapText="1"/>
    </xf>
    <xf numFmtId="3" fontId="30" fillId="30" borderId="31" xfId="0" applyNumberFormat="1" applyFont="1" applyFill="1" applyBorder="1" applyAlignment="1">
      <alignment horizontal="center" vertical="center" wrapText="1"/>
    </xf>
    <xf numFmtId="0" fontId="33" fillId="29" borderId="38" xfId="0" applyFont="1" applyFill="1" applyBorder="1" applyAlignment="1">
      <alignment horizontal="left" vertical="center" wrapText="1"/>
    </xf>
    <xf numFmtId="0" fontId="33" fillId="25" borderId="65" xfId="0" applyFont="1" applyFill="1" applyBorder="1" applyAlignment="1">
      <alignment horizontal="left" vertical="center" wrapText="1"/>
    </xf>
    <xf numFmtId="0" fontId="33" fillId="25" borderId="66" xfId="0" applyFont="1" applyFill="1" applyBorder="1" applyAlignment="1">
      <alignment horizontal="left" vertical="center" wrapText="1"/>
    </xf>
    <xf numFmtId="0" fontId="101" fillId="0" borderId="42" xfId="0" applyFont="1" applyBorder="1" applyAlignment="1">
      <alignment horizontal="justify" vertical="center" wrapText="1"/>
    </xf>
    <xf numFmtId="0" fontId="101" fillId="0" borderId="43" xfId="0" applyFont="1" applyBorder="1" applyAlignment="1">
      <alignment horizontal="justify" vertical="center" wrapText="1"/>
    </xf>
    <xf numFmtId="0" fontId="91" fillId="0" borderId="48" xfId="0" applyFont="1" applyBorder="1" applyAlignment="1">
      <alignment horizontal="left" vertical="center" wrapText="1"/>
    </xf>
    <xf numFmtId="0" fontId="91" fillId="0" borderId="97" xfId="0" applyFont="1" applyBorder="1" applyAlignment="1">
      <alignment horizontal="left" vertical="center" wrapText="1"/>
    </xf>
    <xf numFmtId="0" fontId="91" fillId="0" borderId="64" xfId="0" applyFont="1" applyBorder="1" applyAlignment="1">
      <alignment horizontal="left" vertical="center" wrapText="1"/>
    </xf>
    <xf numFmtId="0" fontId="91" fillId="0" borderId="0" xfId="0" applyFont="1" applyAlignment="1">
      <alignment horizontal="left" vertical="center" wrapText="1"/>
    </xf>
    <xf numFmtId="0" fontId="91" fillId="0" borderId="36" xfId="0" applyFont="1" applyBorder="1" applyAlignment="1">
      <alignment horizontal="left" vertical="center" wrapText="1"/>
    </xf>
    <xf numFmtId="0" fontId="91" fillId="0" borderId="39" xfId="0" applyFont="1" applyBorder="1" applyAlignment="1">
      <alignment horizontal="left" vertical="center" wrapText="1"/>
    </xf>
    <xf numFmtId="0" fontId="28" fillId="0" borderId="48" xfId="0" applyFont="1" applyBorder="1" applyAlignment="1">
      <alignment horizontal="left" vertical="center" wrapText="1"/>
    </xf>
    <xf numFmtId="0" fontId="28" fillId="0" borderId="97" xfId="0" applyFont="1" applyBorder="1" applyAlignment="1">
      <alignment horizontal="left" vertical="center" wrapText="1"/>
    </xf>
    <xf numFmtId="0" fontId="28" fillId="0" borderId="98" xfId="0" applyFont="1" applyBorder="1" applyAlignment="1">
      <alignment horizontal="left" vertical="center" wrapText="1"/>
    </xf>
    <xf numFmtId="0" fontId="30" fillId="0" borderId="27" xfId="0" applyFont="1" applyBorder="1" applyAlignment="1">
      <alignment horizontal="left" vertical="center" wrapText="1"/>
    </xf>
    <xf numFmtId="0" fontId="30" fillId="0" borderId="42" xfId="0" applyFont="1" applyBorder="1" applyAlignment="1">
      <alignment horizontal="left" vertical="center" wrapText="1"/>
    </xf>
    <xf numFmtId="0" fontId="30" fillId="0" borderId="43" xfId="0" applyFont="1" applyBorder="1" applyAlignment="1">
      <alignment horizontal="left" vertical="center" wrapText="1"/>
    </xf>
    <xf numFmtId="0" fontId="0" fillId="0" borderId="36" xfId="0" applyBorder="1" applyAlignment="1">
      <alignment horizontal="left" vertical="center" wrapText="1"/>
    </xf>
    <xf numFmtId="0" fontId="0" fillId="0" borderId="39" xfId="0" applyBorder="1" applyAlignment="1">
      <alignment horizontal="left" vertical="center" wrapText="1"/>
    </xf>
    <xf numFmtId="0" fontId="35" fillId="0" borderId="27" xfId="0" applyFont="1" applyBorder="1" applyAlignment="1">
      <alignment horizontal="justify" vertical="center" wrapText="1"/>
    </xf>
    <xf numFmtId="0" fontId="35" fillId="0" borderId="42" xfId="0" applyFont="1" applyBorder="1" applyAlignment="1">
      <alignment horizontal="justify" vertical="center" wrapText="1"/>
    </xf>
    <xf numFmtId="0" fontId="35" fillId="0" borderId="43" xfId="0" applyFont="1" applyBorder="1" applyAlignment="1">
      <alignment horizontal="justify" vertical="center" wrapText="1"/>
    </xf>
    <xf numFmtId="0" fontId="28" fillId="0" borderId="27" xfId="0" applyFont="1" applyBorder="1" applyAlignment="1">
      <alignment horizontal="justify" vertical="center" wrapText="1"/>
    </xf>
    <xf numFmtId="0" fontId="28" fillId="0" borderId="42" xfId="0" applyFont="1" applyBorder="1" applyAlignment="1">
      <alignment horizontal="justify" vertical="center" wrapText="1"/>
    </xf>
    <xf numFmtId="0" fontId="28" fillId="0" borderId="43" xfId="0" applyFont="1" applyBorder="1" applyAlignment="1">
      <alignment horizontal="justify" vertical="center" wrapText="1"/>
    </xf>
    <xf numFmtId="0" fontId="28" fillId="0" borderId="57" xfId="0" applyFont="1" applyBorder="1" applyAlignment="1">
      <alignment horizontal="left" vertical="center" wrapText="1"/>
    </xf>
    <xf numFmtId="0" fontId="35" fillId="0" borderId="27" xfId="0" applyFont="1" applyBorder="1" applyAlignment="1">
      <alignment horizontal="left" vertical="center" wrapText="1"/>
    </xf>
    <xf numFmtId="0" fontId="35" fillId="0" borderId="42" xfId="0" applyFont="1" applyBorder="1" applyAlignment="1">
      <alignment horizontal="left" vertical="center" wrapText="1"/>
    </xf>
    <xf numFmtId="0" fontId="35" fillId="0" borderId="43" xfId="0" applyFont="1" applyBorder="1" applyAlignment="1">
      <alignment horizontal="left" vertical="center" wrapText="1"/>
    </xf>
    <xf numFmtId="0" fontId="28" fillId="0" borderId="40" xfId="0" applyFont="1" applyBorder="1" applyAlignment="1">
      <alignment horizontal="justify" vertical="center" wrapText="1"/>
    </xf>
    <xf numFmtId="0" fontId="28" fillId="0" borderId="90" xfId="0" applyFont="1" applyBorder="1" applyAlignment="1">
      <alignment horizontal="justify" vertical="center" wrapText="1"/>
    </xf>
    <xf numFmtId="0" fontId="28" fillId="0" borderId="85" xfId="0" applyFont="1" applyBorder="1" applyAlignment="1">
      <alignment horizontal="justify" vertical="center" wrapText="1"/>
    </xf>
    <xf numFmtId="0" fontId="28" fillId="34" borderId="38" xfId="0" applyFont="1" applyFill="1" applyBorder="1" applyAlignment="1">
      <alignment horizontal="justify" vertical="center"/>
    </xf>
    <xf numFmtId="4" fontId="86" fillId="24" borderId="38" xfId="0" applyNumberFormat="1" applyFont="1" applyFill="1" applyBorder="1" applyAlignment="1">
      <alignment horizontal="center" vertical="center" wrapText="1"/>
    </xf>
    <xf numFmtId="3" fontId="28" fillId="0" borderId="0" xfId="0" applyNumberFormat="1" applyFont="1" applyAlignment="1">
      <alignment horizontal="center" vertical="center"/>
    </xf>
    <xf numFmtId="4" fontId="86" fillId="35" borderId="38" xfId="0" applyNumberFormat="1" applyFont="1" applyFill="1" applyBorder="1" applyAlignment="1">
      <alignment horizontal="center" vertical="center" wrapText="1"/>
    </xf>
    <xf numFmtId="0" fontId="44" fillId="0" borderId="38" xfId="0" applyFont="1" applyBorder="1" applyAlignment="1">
      <alignment horizontal="left" vertical="center" wrapText="1"/>
    </xf>
    <xf numFmtId="0" fontId="28" fillId="0" borderId="38" xfId="0" applyFont="1" applyBorder="1" applyAlignment="1">
      <alignment horizontal="justify" vertical="center" wrapText="1"/>
    </xf>
    <xf numFmtId="0" fontId="30" fillId="29" borderId="38" xfId="0" applyFont="1" applyFill="1" applyBorder="1" applyAlignment="1">
      <alignment horizontal="left" vertical="center" wrapText="1"/>
    </xf>
    <xf numFmtId="0" fontId="28" fillId="0" borderId="38" xfId="0" applyFont="1" applyBorder="1" applyAlignment="1">
      <alignment horizontal="justify" vertical="center"/>
    </xf>
    <xf numFmtId="0" fontId="42" fillId="0" borderId="38" xfId="0" applyFont="1" applyBorder="1" applyAlignment="1">
      <alignment horizontal="left" vertical="center" wrapText="1"/>
    </xf>
    <xf numFmtId="0" fontId="37" fillId="24" borderId="18" xfId="0" applyFont="1" applyFill="1" applyBorder="1" applyAlignment="1">
      <alignment horizontal="center" vertical="center" wrapText="1"/>
    </xf>
    <xf numFmtId="0" fontId="37" fillId="24" borderId="61" xfId="0" applyFont="1" applyFill="1" applyBorder="1" applyAlignment="1">
      <alignment horizontal="center" vertical="center" wrapText="1"/>
    </xf>
    <xf numFmtId="0" fontId="37" fillId="24" borderId="33" xfId="0" applyFont="1" applyFill="1" applyBorder="1" applyAlignment="1">
      <alignment horizontal="center" vertical="center" wrapText="1"/>
    </xf>
    <xf numFmtId="0" fontId="37" fillId="29" borderId="86" xfId="0" applyFont="1" applyFill="1" applyBorder="1" applyAlignment="1">
      <alignment horizontal="center" vertical="center" wrapText="1"/>
    </xf>
    <xf numFmtId="0" fontId="37" fillId="29" borderId="84" xfId="0" applyFont="1" applyFill="1" applyBorder="1" applyAlignment="1">
      <alignment horizontal="center" vertical="center" wrapText="1"/>
    </xf>
    <xf numFmtId="3" fontId="37" fillId="29" borderId="67" xfId="0" applyNumberFormat="1" applyFont="1" applyFill="1" applyBorder="1" applyAlignment="1">
      <alignment horizontal="center" vertical="center" wrapText="1"/>
    </xf>
    <xf numFmtId="3" fontId="37" fillId="29" borderId="4" xfId="0" applyNumberFormat="1" applyFont="1" applyFill="1" applyBorder="1" applyAlignment="1">
      <alignment horizontal="center" vertical="center" wrapText="1"/>
    </xf>
    <xf numFmtId="3" fontId="37" fillId="29" borderId="52" xfId="0" applyNumberFormat="1" applyFont="1" applyFill="1" applyBorder="1" applyAlignment="1">
      <alignment horizontal="center" vertical="center" wrapText="1"/>
    </xf>
    <xf numFmtId="3" fontId="37" fillId="29" borderId="99" xfId="0" applyNumberFormat="1" applyFont="1" applyFill="1" applyBorder="1" applyAlignment="1">
      <alignment horizontal="center" vertical="center" wrapText="1"/>
    </xf>
    <xf numFmtId="0" fontId="38" fillId="0" borderId="43" xfId="0" applyFont="1" applyBorder="1" applyAlignment="1">
      <alignment horizontal="center" vertical="center" wrapText="1"/>
    </xf>
    <xf numFmtId="0" fontId="38" fillId="0" borderId="11" xfId="0" applyFont="1" applyBorder="1" applyAlignment="1">
      <alignment horizontal="left" vertical="center" wrapText="1"/>
    </xf>
    <xf numFmtId="0" fontId="37" fillId="29" borderId="23" xfId="0" applyFont="1" applyFill="1" applyBorder="1" applyAlignment="1">
      <alignment horizontal="left" vertical="center" wrapText="1"/>
    </xf>
    <xf numFmtId="0" fontId="37" fillId="29" borderId="33" xfId="0" applyFont="1" applyFill="1" applyBorder="1" applyAlignment="1">
      <alignment horizontal="left" vertical="center" wrapText="1"/>
    </xf>
    <xf numFmtId="0" fontId="37" fillId="29" borderId="23" xfId="0" applyFont="1" applyFill="1" applyBorder="1" applyAlignment="1">
      <alignment horizontal="center" vertical="center" wrapText="1"/>
    </xf>
    <xf numFmtId="0" fontId="37" fillId="29" borderId="33" xfId="0" applyFont="1" applyFill="1" applyBorder="1" applyAlignment="1">
      <alignment horizontal="center" vertical="center" wrapText="1"/>
    </xf>
    <xf numFmtId="0" fontId="38" fillId="0" borderId="47" xfId="0" applyFont="1" applyBorder="1" applyAlignment="1">
      <alignment horizontal="center" vertical="center" wrapText="1"/>
    </xf>
    <xf numFmtId="0" fontId="38" fillId="0" borderId="61" xfId="0" applyFont="1" applyBorder="1" applyAlignment="1">
      <alignment horizontal="center" vertical="center" wrapText="1"/>
    </xf>
    <xf numFmtId="0" fontId="37" fillId="29" borderId="61" xfId="0" applyFont="1" applyFill="1" applyBorder="1" applyAlignment="1">
      <alignment horizontal="center" vertical="center" wrapText="1"/>
    </xf>
    <xf numFmtId="0" fontId="38" fillId="0" borderId="38" xfId="0" applyFont="1" applyBorder="1" applyAlignment="1">
      <alignment horizontal="left" vertical="center" wrapText="1"/>
    </xf>
    <xf numFmtId="0" fontId="38" fillId="0" borderId="38" xfId="0" applyFont="1" applyBorder="1" applyAlignment="1">
      <alignment horizontal="center" vertical="center" wrapText="1"/>
    </xf>
    <xf numFmtId="0" fontId="37" fillId="29" borderId="67" xfId="0" applyFont="1" applyFill="1" applyBorder="1" applyAlignment="1">
      <alignment horizontal="center" vertical="center" wrapText="1"/>
    </xf>
    <xf numFmtId="0" fontId="37" fillId="29" borderId="4" xfId="0" applyFont="1" applyFill="1" applyBorder="1" applyAlignment="1">
      <alignment horizontal="center" vertical="center" wrapText="1"/>
    </xf>
    <xf numFmtId="0" fontId="37" fillId="29" borderId="52" xfId="0" applyFont="1" applyFill="1" applyBorder="1" applyAlignment="1">
      <alignment horizontal="center" vertical="center" wrapText="1"/>
    </xf>
    <xf numFmtId="0" fontId="37" fillId="29" borderId="99" xfId="0" applyFont="1" applyFill="1" applyBorder="1" applyAlignment="1">
      <alignment horizontal="center" vertical="center" wrapText="1"/>
    </xf>
    <xf numFmtId="0" fontId="37" fillId="0" borderId="0" xfId="0" applyFont="1" applyAlignment="1">
      <alignment horizontal="center" vertical="center" wrapText="1"/>
    </xf>
    <xf numFmtId="0" fontId="37" fillId="0" borderId="0" xfId="0" applyFont="1" applyAlignment="1">
      <alignment horizontal="right" vertical="center" wrapText="1"/>
    </xf>
    <xf numFmtId="0" fontId="37" fillId="24" borderId="38" xfId="0" applyFont="1" applyFill="1" applyBorder="1" applyAlignment="1">
      <alignment horizontal="center" vertical="center" wrapText="1"/>
    </xf>
    <xf numFmtId="49" fontId="37" fillId="29" borderId="38" xfId="0" applyNumberFormat="1" applyFont="1" applyFill="1" applyBorder="1" applyAlignment="1">
      <alignment horizontal="center" vertical="center" wrapText="1"/>
    </xf>
    <xf numFmtId="0" fontId="37" fillId="29" borderId="38" xfId="0" applyFont="1" applyFill="1" applyBorder="1" applyAlignment="1">
      <alignment horizontal="center" vertical="center" wrapText="1"/>
    </xf>
    <xf numFmtId="0" fontId="38" fillId="0" borderId="47" xfId="0" applyFont="1" applyBorder="1" applyAlignment="1">
      <alignment horizontal="left" vertical="center" wrapText="1"/>
    </xf>
    <xf numFmtId="0" fontId="38" fillId="0" borderId="61" xfId="0" applyFont="1" applyBorder="1" applyAlignment="1">
      <alignment horizontal="left" vertical="center" wrapText="1"/>
    </xf>
    <xf numFmtId="0" fontId="37" fillId="29" borderId="60" xfId="0" applyFont="1" applyFill="1" applyBorder="1" applyAlignment="1">
      <alignment horizontal="center" vertical="center" wrapText="1"/>
    </xf>
    <xf numFmtId="0" fontId="38" fillId="0" borderId="98" xfId="0" applyFont="1" applyBorder="1" applyAlignment="1">
      <alignment horizontal="center" vertical="center" wrapText="1"/>
    </xf>
    <xf numFmtId="0" fontId="38" fillId="0" borderId="60" xfId="0" applyFont="1" applyBorder="1" applyAlignment="1">
      <alignment horizontal="center" vertical="center" wrapText="1"/>
    </xf>
    <xf numFmtId="0" fontId="37" fillId="29" borderId="61" xfId="0" applyFont="1" applyFill="1" applyBorder="1" applyAlignment="1">
      <alignment horizontal="left" vertical="center" wrapText="1"/>
    </xf>
    <xf numFmtId="0" fontId="38" fillId="0" borderId="11" xfId="0" applyFont="1" applyBorder="1" applyAlignment="1">
      <alignment horizontal="center" vertical="center" wrapText="1"/>
    </xf>
    <xf numFmtId="3" fontId="37" fillId="24" borderId="59" xfId="0" applyNumberFormat="1" applyFont="1" applyFill="1" applyBorder="1" applyAlignment="1">
      <alignment horizontal="center" vertical="center" wrapText="1"/>
    </xf>
    <xf numFmtId="3" fontId="37" fillId="24" borderId="62" xfId="0" applyNumberFormat="1" applyFont="1" applyFill="1" applyBorder="1" applyAlignment="1">
      <alignment horizontal="center" vertical="center" wrapText="1"/>
    </xf>
    <xf numFmtId="3" fontId="37" fillId="24" borderId="53" xfId="0" applyNumberFormat="1" applyFont="1" applyFill="1" applyBorder="1" applyAlignment="1">
      <alignment horizontal="center" vertical="center" wrapText="1"/>
    </xf>
    <xf numFmtId="0" fontId="36" fillId="0" borderId="38" xfId="0" applyFont="1" applyBorder="1" applyAlignment="1">
      <alignment horizontal="center" vertical="center" wrapText="1"/>
    </xf>
    <xf numFmtId="0" fontId="37" fillId="29" borderId="28" xfId="0" applyFont="1" applyFill="1" applyBorder="1" applyAlignment="1">
      <alignment horizontal="left" vertical="center" wrapText="1"/>
    </xf>
    <xf numFmtId="0" fontId="37" fillId="29" borderId="35" xfId="0" applyFont="1" applyFill="1" applyBorder="1" applyAlignment="1">
      <alignment horizontal="left" vertical="center" wrapText="1"/>
    </xf>
    <xf numFmtId="0" fontId="36" fillId="0" borderId="78" xfId="0" applyFont="1" applyBorder="1" applyAlignment="1">
      <alignment horizontal="center" vertical="center" wrapText="1"/>
    </xf>
    <xf numFmtId="0" fontId="37" fillId="0" borderId="15"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63" xfId="0" applyFont="1" applyBorder="1" applyAlignment="1">
      <alignment horizontal="center" vertical="center" wrapText="1"/>
    </xf>
    <xf numFmtId="0" fontId="37" fillId="24" borderId="23" xfId="0" applyFont="1" applyFill="1" applyBorder="1" applyAlignment="1">
      <alignment horizontal="center" vertical="center" wrapText="1"/>
    </xf>
    <xf numFmtId="0" fontId="36" fillId="0" borderId="16"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61" xfId="0" applyFont="1" applyBorder="1" applyAlignment="1">
      <alignment horizontal="center" vertical="center" wrapText="1"/>
    </xf>
    <xf numFmtId="0" fontId="37" fillId="0" borderId="108" xfId="0" applyFont="1" applyBorder="1" applyAlignment="1">
      <alignment horizontal="center" vertical="center" wrapText="1"/>
    </xf>
    <xf numFmtId="0" fontId="37" fillId="0" borderId="91"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109" xfId="0" applyFont="1" applyBorder="1" applyAlignment="1">
      <alignment horizontal="center" vertical="center" wrapText="1"/>
    </xf>
    <xf numFmtId="0" fontId="37" fillId="0" borderId="31" xfId="0" applyFont="1" applyBorder="1" applyAlignment="1">
      <alignment horizontal="center" vertical="center" wrapText="1"/>
    </xf>
    <xf numFmtId="49" fontId="37" fillId="0" borderId="15" xfId="0" applyNumberFormat="1" applyFont="1" applyBorder="1" applyAlignment="1">
      <alignment horizontal="center" vertical="center" wrapText="1"/>
    </xf>
    <xf numFmtId="0" fontId="37" fillId="0" borderId="16" xfId="0" applyFont="1" applyBorder="1" applyAlignment="1">
      <alignment horizontal="left" vertical="center" wrapText="1"/>
    </xf>
    <xf numFmtId="0" fontId="37" fillId="0" borderId="78" xfId="0" applyFont="1" applyBorder="1" applyAlignment="1">
      <alignment horizontal="left" vertical="center" wrapText="1"/>
    </xf>
    <xf numFmtId="3" fontId="37" fillId="24" borderId="38" xfId="0" applyNumberFormat="1" applyFont="1" applyFill="1" applyBorder="1" applyAlignment="1">
      <alignment horizontal="center" vertical="center" wrapText="1"/>
    </xf>
    <xf numFmtId="0" fontId="37" fillId="31" borderId="38" xfId="0" applyFont="1" applyFill="1" applyBorder="1" applyAlignment="1">
      <alignment horizontal="center" vertical="center" wrapText="1"/>
    </xf>
    <xf numFmtId="0" fontId="37" fillId="31" borderId="23" xfId="0" applyFont="1" applyFill="1" applyBorder="1" applyAlignment="1">
      <alignment horizontal="center" vertical="center" wrapText="1"/>
    </xf>
    <xf numFmtId="0" fontId="37" fillId="0" borderId="33"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33" xfId="0" applyFont="1" applyBorder="1" applyAlignment="1">
      <alignment horizontal="left" vertical="center" wrapText="1"/>
    </xf>
    <xf numFmtId="0" fontId="37" fillId="0" borderId="23" xfId="0" applyFont="1" applyBorder="1" applyAlignment="1">
      <alignment horizontal="left" vertical="center" wrapText="1"/>
    </xf>
    <xf numFmtId="3" fontId="36" fillId="0" borderId="38" xfId="0" applyNumberFormat="1" applyFont="1" applyBorder="1" applyAlignment="1">
      <alignment horizontal="center" vertical="center" wrapText="1"/>
    </xf>
    <xf numFmtId="3" fontId="36" fillId="0" borderId="31" xfId="0" applyNumberFormat="1" applyFont="1" applyBorder="1" applyAlignment="1">
      <alignment horizontal="center" vertical="center" wrapText="1"/>
    </xf>
    <xf numFmtId="3" fontId="36" fillId="0" borderId="16" xfId="0" applyNumberFormat="1" applyFont="1" applyBorder="1" applyAlignment="1">
      <alignment horizontal="center" vertical="center" wrapText="1"/>
    </xf>
    <xf numFmtId="3" fontId="36" fillId="0" borderId="17" xfId="0" applyNumberFormat="1" applyFont="1" applyBorder="1" applyAlignment="1">
      <alignment horizontal="center" vertical="center" wrapText="1"/>
    </xf>
    <xf numFmtId="3" fontId="37" fillId="0" borderId="16" xfId="0" applyNumberFormat="1" applyFont="1" applyBorder="1" applyAlignment="1">
      <alignment horizontal="center" vertical="center" wrapText="1"/>
    </xf>
    <xf numFmtId="3" fontId="37" fillId="0" borderId="17" xfId="0" applyNumberFormat="1" applyFont="1" applyBorder="1" applyAlignment="1">
      <alignment horizontal="center" vertical="center" wrapText="1"/>
    </xf>
    <xf numFmtId="0" fontId="37" fillId="0" borderId="16" xfId="0" applyFont="1" applyBorder="1" applyAlignment="1">
      <alignment vertical="center" wrapText="1"/>
    </xf>
    <xf numFmtId="0" fontId="37" fillId="0" borderId="38" xfId="0" applyFont="1" applyBorder="1" applyAlignment="1">
      <alignment vertical="center" wrapText="1"/>
    </xf>
    <xf numFmtId="0" fontId="37" fillId="0" borderId="78" xfId="0" applyFont="1" applyBorder="1" applyAlignment="1">
      <alignment vertical="center" wrapText="1"/>
    </xf>
    <xf numFmtId="3" fontId="37" fillId="0" borderId="31" xfId="0" applyNumberFormat="1" applyFont="1" applyBorder="1" applyAlignment="1">
      <alignment horizontal="center" vertical="center" wrapText="1"/>
    </xf>
    <xf numFmtId="0" fontId="37" fillId="0" borderId="18" xfId="0" applyFont="1" applyBorder="1" applyAlignment="1">
      <alignment horizontal="left" vertical="center" wrapText="1"/>
    </xf>
    <xf numFmtId="0" fontId="37" fillId="0" borderId="61" xfId="0" applyFont="1" applyBorder="1" applyAlignment="1">
      <alignment horizontal="left" vertical="center" wrapText="1"/>
    </xf>
    <xf numFmtId="0" fontId="37" fillId="0" borderId="108" xfId="0" applyFont="1" applyBorder="1" applyAlignment="1">
      <alignment horizontal="left" vertical="center" wrapText="1"/>
    </xf>
    <xf numFmtId="0" fontId="44" fillId="0" borderId="12" xfId="384" applyFont="1" applyBorder="1" applyAlignment="1">
      <alignment horizontal="center" vertical="center" wrapText="1"/>
    </xf>
    <xf numFmtId="0" fontId="34" fillId="0" borderId="12" xfId="384" applyBorder="1" applyAlignment="1">
      <alignment horizontal="center" vertical="center" wrapText="1"/>
    </xf>
    <xf numFmtId="0" fontId="44" fillId="0" borderId="41" xfId="384" applyFont="1" applyBorder="1" applyAlignment="1">
      <alignment horizontal="left" vertical="center" wrapText="1"/>
    </xf>
    <xf numFmtId="0" fontId="34" fillId="0" borderId="11" xfId="384" applyBorder="1" applyAlignment="1">
      <alignment horizontal="left" vertical="center" wrapText="1"/>
    </xf>
    <xf numFmtId="0" fontId="34" fillId="0" borderId="22" xfId="384" applyBorder="1" applyAlignment="1">
      <alignment horizontal="left" vertical="center" wrapText="1"/>
    </xf>
    <xf numFmtId="0" fontId="34" fillId="0" borderId="32" xfId="384" applyBorder="1" applyAlignment="1">
      <alignment horizontal="center" vertical="center" wrapText="1"/>
    </xf>
    <xf numFmtId="0" fontId="44" fillId="0" borderId="14" xfId="384" applyFont="1" applyBorder="1" applyAlignment="1">
      <alignment horizontal="center" vertical="center" wrapText="1"/>
    </xf>
    <xf numFmtId="0" fontId="34" fillId="0" borderId="11" xfId="384" applyBorder="1" applyAlignment="1">
      <alignment horizontal="center" vertical="center" wrapText="1"/>
    </xf>
    <xf numFmtId="0" fontId="34" fillId="0" borderId="25" xfId="384" applyBorder="1" applyAlignment="1">
      <alignment horizontal="center" vertical="center" wrapText="1"/>
    </xf>
    <xf numFmtId="0" fontId="53" fillId="0" borderId="0" xfId="384" applyFont="1" applyAlignment="1">
      <alignment wrapText="1"/>
    </xf>
    <xf numFmtId="0" fontId="54" fillId="0" borderId="0" xfId="384" applyFont="1" applyAlignment="1">
      <alignment wrapText="1"/>
    </xf>
    <xf numFmtId="0" fontId="44" fillId="0" borderId="41" xfId="384" applyFont="1" applyBorder="1" applyAlignment="1">
      <alignment vertical="center" wrapText="1"/>
    </xf>
    <xf numFmtId="0" fontId="44" fillId="0" borderId="11" xfId="384" applyFont="1" applyBorder="1" applyAlignment="1">
      <alignment vertical="center" wrapText="1"/>
    </xf>
    <xf numFmtId="0" fontId="44" fillId="0" borderId="22" xfId="384" applyFont="1" applyBorder="1" applyAlignment="1">
      <alignment vertical="center" wrapText="1"/>
    </xf>
    <xf numFmtId="0" fontId="44" fillId="0" borderId="11" xfId="384" applyFont="1" applyBorder="1" applyAlignment="1">
      <alignment horizontal="left" vertical="center" wrapText="1"/>
    </xf>
    <xf numFmtId="0" fontId="42" fillId="0" borderId="38" xfId="384" applyFont="1" applyBorder="1" applyAlignment="1">
      <alignment horizontal="center" vertical="center" wrapText="1"/>
    </xf>
    <xf numFmtId="0" fontId="42" fillId="0" borderId="31" xfId="384" applyFont="1" applyBorder="1" applyAlignment="1">
      <alignment horizontal="center" vertical="center" wrapText="1"/>
    </xf>
    <xf numFmtId="0" fontId="44" fillId="0" borderId="94" xfId="384" applyFont="1" applyBorder="1" applyAlignment="1">
      <alignment horizontal="center" vertical="center" wrapText="1"/>
    </xf>
    <xf numFmtId="0" fontId="44" fillId="0" borderId="55" xfId="384" applyFont="1" applyBorder="1" applyAlignment="1">
      <alignment vertical="center" wrapText="1"/>
    </xf>
    <xf numFmtId="0" fontId="42" fillId="33" borderId="38" xfId="384" applyFont="1" applyFill="1" applyBorder="1" applyAlignment="1">
      <alignment horizontal="center" vertical="center" wrapText="1"/>
    </xf>
    <xf numFmtId="0" fontId="48" fillId="0" borderId="19" xfId="384" applyFont="1" applyBorder="1" applyAlignment="1">
      <alignment horizontal="center" vertical="center" wrapText="1"/>
    </xf>
    <xf numFmtId="0" fontId="49" fillId="0" borderId="19" xfId="384" applyFont="1" applyBorder="1" applyAlignment="1">
      <alignment horizontal="center" vertical="center" wrapText="1"/>
    </xf>
    <xf numFmtId="0" fontId="50" fillId="0" borderId="15" xfId="384" applyFont="1" applyBorder="1" applyAlignment="1">
      <alignment horizontal="center" vertical="center" wrapText="1"/>
    </xf>
    <xf numFmtId="0" fontId="50" fillId="0" borderId="29" xfId="384" applyFont="1" applyBorder="1" applyAlignment="1">
      <alignment horizontal="center" vertical="center" wrapText="1"/>
    </xf>
    <xf numFmtId="0" fontId="50" fillId="0" borderId="16" xfId="384" applyFont="1" applyBorder="1" applyAlignment="1">
      <alignment horizontal="center" vertical="center" wrapText="1"/>
    </xf>
    <xf numFmtId="0" fontId="50" fillId="0" borderId="38" xfId="384" applyFont="1" applyBorder="1" applyAlignment="1">
      <alignment horizontal="center" vertical="center" wrapText="1"/>
    </xf>
    <xf numFmtId="0" fontId="44" fillId="0" borderId="16" xfId="384" applyFont="1" applyBorder="1" applyAlignment="1">
      <alignment horizontal="center" vertical="center" wrapText="1"/>
    </xf>
    <xf numFmtId="0" fontId="50" fillId="0" borderId="92" xfId="384" applyFont="1" applyBorder="1" applyAlignment="1">
      <alignment horizontal="center" vertical="center" wrapText="1"/>
    </xf>
    <xf numFmtId="0" fontId="50" fillId="0" borderId="17" xfId="384" applyFont="1" applyBorder="1" applyAlignment="1">
      <alignment horizontal="center" vertical="center" wrapText="1"/>
    </xf>
    <xf numFmtId="0" fontId="52" fillId="0" borderId="103" xfId="0" applyFont="1" applyBorder="1" applyAlignment="1">
      <alignment vertical="center" wrapText="1"/>
    </xf>
    <xf numFmtId="0" fontId="52" fillId="0" borderId="104" xfId="0" applyFont="1" applyBorder="1" applyAlignment="1">
      <alignment vertical="center" wrapText="1"/>
    </xf>
    <xf numFmtId="0" fontId="52" fillId="0" borderId="105" xfId="0" applyFont="1" applyBorder="1" applyAlignment="1">
      <alignment vertical="center" wrapText="1"/>
    </xf>
    <xf numFmtId="0" fontId="52" fillId="0" borderId="67" xfId="0" applyFont="1" applyBorder="1" applyAlignment="1">
      <alignment horizontal="left" vertical="center" wrapText="1"/>
    </xf>
    <xf numFmtId="0" fontId="52" fillId="0" borderId="4" xfId="0" applyFont="1" applyBorder="1" applyAlignment="1">
      <alignment horizontal="left" vertical="center" wrapText="1"/>
    </xf>
    <xf numFmtId="0" fontId="52" fillId="0" borderId="95" xfId="0" applyFont="1" applyBorder="1" applyAlignment="1">
      <alignment horizontal="left" vertical="center" wrapText="1"/>
    </xf>
    <xf numFmtId="0" fontId="52" fillId="0" borderId="67" xfId="0" applyFont="1" applyBorder="1" applyAlignment="1">
      <alignment vertical="center" wrapText="1"/>
    </xf>
    <xf numFmtId="0" fontId="52" fillId="0" borderId="4" xfId="0" applyFont="1" applyBorder="1" applyAlignment="1">
      <alignment vertical="center" wrapText="1"/>
    </xf>
    <xf numFmtId="0" fontId="52" fillId="0" borderId="95" xfId="0" applyFont="1" applyBorder="1" applyAlignment="1">
      <alignment vertical="center" wrapText="1"/>
    </xf>
    <xf numFmtId="0" fontId="62" fillId="28" borderId="67" xfId="0" applyFont="1" applyFill="1" applyBorder="1" applyAlignment="1">
      <alignment horizontal="left" vertical="center" wrapText="1"/>
    </xf>
    <xf numFmtId="0" fontId="62" fillId="28" borderId="4" xfId="0" applyFont="1" applyFill="1" applyBorder="1" applyAlignment="1">
      <alignment horizontal="left" vertical="center" wrapText="1"/>
    </xf>
    <xf numFmtId="0" fontId="62" fillId="28" borderId="52" xfId="0" applyFont="1" applyFill="1" applyBorder="1" applyAlignment="1">
      <alignment horizontal="left" vertical="center" wrapText="1"/>
    </xf>
    <xf numFmtId="0" fontId="62" fillId="27" borderId="30" xfId="0" applyFont="1" applyFill="1" applyBorder="1" applyAlignment="1">
      <alignment horizontal="center" vertical="center" wrapText="1"/>
    </xf>
    <xf numFmtId="0" fontId="62" fillId="27" borderId="46" xfId="0" applyFont="1" applyFill="1" applyBorder="1" applyAlignment="1">
      <alignment horizontal="center" vertical="center" wrapText="1"/>
    </xf>
    <xf numFmtId="0" fontId="62" fillId="27" borderId="51" xfId="0" applyFont="1" applyFill="1" applyBorder="1" applyAlignment="1">
      <alignment horizontal="center" vertical="center" wrapText="1"/>
    </xf>
    <xf numFmtId="0" fontId="62" fillId="27" borderId="23" xfId="0" applyFont="1" applyFill="1" applyBorder="1" applyAlignment="1">
      <alignment horizontal="left" vertical="center" wrapText="1"/>
    </xf>
    <xf numFmtId="0" fontId="62" fillId="27" borderId="61" xfId="0" applyFont="1" applyFill="1" applyBorder="1" applyAlignment="1">
      <alignment horizontal="left" vertical="center" wrapText="1"/>
    </xf>
    <xf numFmtId="0" fontId="62" fillId="27" borderId="33" xfId="0" applyFont="1" applyFill="1" applyBorder="1" applyAlignment="1">
      <alignment horizontal="left" vertical="center" wrapText="1"/>
    </xf>
    <xf numFmtId="0" fontId="62" fillId="27" borderId="23" xfId="0" applyFont="1" applyFill="1" applyBorder="1" applyAlignment="1">
      <alignment horizontal="center" vertical="center" wrapText="1"/>
    </xf>
    <xf numFmtId="0" fontId="62" fillId="27" borderId="14" xfId="0" applyFont="1" applyFill="1" applyBorder="1" applyAlignment="1">
      <alignment horizontal="center" vertical="center" wrapText="1"/>
    </xf>
    <xf numFmtId="0" fontId="62" fillId="27" borderId="47" xfId="0" applyFont="1" applyFill="1" applyBorder="1" applyAlignment="1">
      <alignment horizontal="center" vertical="center" wrapText="1"/>
    </xf>
    <xf numFmtId="0" fontId="62" fillId="27" borderId="33" xfId="0" applyFont="1" applyFill="1" applyBorder="1" applyAlignment="1">
      <alignment horizontal="center" vertical="center" wrapText="1"/>
    </xf>
    <xf numFmtId="0" fontId="52" fillId="0" borderId="40" xfId="0" applyFont="1" applyBorder="1" applyAlignment="1">
      <alignment vertical="center" wrapText="1"/>
    </xf>
    <xf numFmtId="0" fontId="52" fillId="0" borderId="90" xfId="0" applyFont="1" applyBorder="1" applyAlignment="1">
      <alignment vertical="center" wrapText="1"/>
    </xf>
    <xf numFmtId="0" fontId="52" fillId="0" borderId="102" xfId="0" applyFont="1" applyBorder="1" applyAlignment="1">
      <alignment vertical="center" wrapText="1"/>
    </xf>
    <xf numFmtId="0" fontId="52" fillId="0" borderId="27" xfId="0" applyFont="1" applyBorder="1" applyAlignment="1">
      <alignment horizontal="left" vertical="center" wrapText="1"/>
    </xf>
    <xf numFmtId="0" fontId="52" fillId="0" borderId="42" xfId="0" applyFont="1" applyBorder="1" applyAlignment="1">
      <alignment horizontal="left" vertical="center" wrapText="1"/>
    </xf>
    <xf numFmtId="0" fontId="52" fillId="0" borderId="101" xfId="0" applyFont="1" applyBorder="1" applyAlignment="1">
      <alignment horizontal="left" vertical="center" wrapText="1"/>
    </xf>
    <xf numFmtId="0" fontId="52" fillId="0" borderId="27" xfId="0" applyFont="1" applyBorder="1" applyAlignment="1">
      <alignment vertical="center" wrapText="1"/>
    </xf>
    <xf numFmtId="0" fontId="52" fillId="0" borderId="42" xfId="0" applyFont="1" applyBorder="1" applyAlignment="1">
      <alignment vertical="center" wrapText="1"/>
    </xf>
    <xf numFmtId="0" fontId="52" fillId="0" borderId="101" xfId="0" applyFont="1" applyBorder="1" applyAlignment="1">
      <alignment vertical="center" wrapText="1"/>
    </xf>
    <xf numFmtId="0" fontId="60" fillId="0" borderId="27" xfId="0" applyFont="1" applyBorder="1" applyAlignment="1">
      <alignment vertical="center" wrapText="1"/>
    </xf>
    <xf numFmtId="0" fontId="60" fillId="0" borderId="42" xfId="0" applyFont="1" applyBorder="1" applyAlignment="1">
      <alignment vertical="center" wrapText="1"/>
    </xf>
    <xf numFmtId="0" fontId="60" fillId="0" borderId="101" xfId="0" applyFont="1" applyBorder="1" applyAlignment="1">
      <alignment vertical="center" wrapText="1"/>
    </xf>
    <xf numFmtId="0" fontId="60" fillId="0" borderId="27" xfId="0" applyFont="1" applyBorder="1" applyAlignment="1">
      <alignment horizontal="left" vertical="center" wrapText="1"/>
    </xf>
    <xf numFmtId="0" fontId="60" fillId="0" borderId="42" xfId="0" applyFont="1" applyBorder="1" applyAlignment="1">
      <alignment horizontal="left" vertical="center" wrapText="1"/>
    </xf>
    <xf numFmtId="0" fontId="60" fillId="0" borderId="101" xfId="0" applyFont="1" applyBorder="1" applyAlignment="1">
      <alignment horizontal="left" vertical="center" wrapText="1"/>
    </xf>
    <xf numFmtId="0" fontId="57" fillId="28" borderId="28" xfId="0" applyFont="1" applyFill="1" applyBorder="1" applyAlignment="1">
      <alignment horizontal="left" vertical="center" wrapText="1"/>
    </xf>
    <xf numFmtId="0" fontId="57" fillId="28" borderId="87" xfId="0" applyFont="1" applyFill="1" applyBorder="1" applyAlignment="1">
      <alignment horizontal="left" vertical="center" wrapText="1"/>
    </xf>
    <xf numFmtId="0" fontId="57" fillId="28" borderId="86" xfId="0" applyFont="1" applyFill="1" applyBorder="1" applyAlignment="1">
      <alignment horizontal="left" vertical="center" wrapText="1"/>
    </xf>
    <xf numFmtId="0" fontId="57" fillId="27" borderId="46" xfId="0" applyFont="1" applyFill="1" applyBorder="1" applyAlignment="1">
      <alignment horizontal="center" vertical="center" wrapText="1"/>
    </xf>
    <xf numFmtId="0" fontId="57" fillId="27" borderId="64" xfId="0" applyFont="1" applyFill="1" applyBorder="1" applyAlignment="1">
      <alignment horizontal="left" vertical="center" wrapText="1"/>
    </xf>
    <xf numFmtId="0" fontId="57" fillId="27" borderId="61" xfId="0" applyFont="1" applyFill="1" applyBorder="1" applyAlignment="1">
      <alignment horizontal="center" vertical="center" wrapText="1"/>
    </xf>
    <xf numFmtId="0" fontId="57" fillId="27" borderId="14" xfId="0" applyFont="1" applyFill="1" applyBorder="1" applyAlignment="1">
      <alignment horizontal="center" vertical="center" wrapText="1"/>
    </xf>
    <xf numFmtId="0" fontId="57" fillId="27" borderId="47" xfId="0" applyFont="1" applyFill="1" applyBorder="1" applyAlignment="1">
      <alignment horizontal="center" vertical="center" wrapText="1"/>
    </xf>
    <xf numFmtId="0" fontId="60" fillId="0" borderId="40" xfId="0" applyFont="1" applyBorder="1" applyAlignment="1">
      <alignment horizontal="left" vertical="center" wrapText="1"/>
    </xf>
    <xf numFmtId="0" fontId="60" fillId="0" borderId="90" xfId="0" applyFont="1" applyBorder="1" applyAlignment="1">
      <alignment horizontal="left" vertical="center" wrapText="1"/>
    </xf>
    <xf numFmtId="0" fontId="60" fillId="0" borderId="102" xfId="0" applyFont="1" applyBorder="1" applyAlignment="1">
      <alignment horizontal="left" vertical="center" wrapText="1"/>
    </xf>
    <xf numFmtId="0" fontId="57" fillId="27" borderId="27" xfId="0" applyFont="1" applyFill="1" applyBorder="1" applyAlignment="1">
      <alignment horizontal="left" vertical="center" wrapText="1"/>
    </xf>
    <xf numFmtId="0" fontId="57" fillId="27" borderId="42" xfId="0" applyFont="1" applyFill="1" applyBorder="1" applyAlignment="1">
      <alignment horizontal="left" vertical="center" wrapText="1"/>
    </xf>
    <xf numFmtId="0" fontId="57" fillId="27" borderId="43" xfId="0" applyFont="1" applyFill="1" applyBorder="1" applyAlignment="1">
      <alignment horizontal="left" vertical="center" wrapText="1"/>
    </xf>
    <xf numFmtId="0" fontId="57" fillId="27" borderId="34" xfId="0" applyFont="1" applyFill="1" applyBorder="1" applyAlignment="1">
      <alignment horizontal="center" vertical="center" wrapText="1"/>
    </xf>
    <xf numFmtId="0" fontId="57" fillId="27" borderId="60" xfId="0" applyFont="1" applyFill="1" applyBorder="1" applyAlignment="1">
      <alignment horizontal="left" vertical="center" wrapText="1"/>
    </xf>
    <xf numFmtId="0" fontId="57" fillId="27" borderId="36" xfId="0" applyFont="1" applyFill="1" applyBorder="1" applyAlignment="1">
      <alignment horizontal="left" vertical="center" wrapText="1"/>
    </xf>
    <xf numFmtId="0" fontId="57" fillId="27" borderId="57" xfId="0" applyFont="1" applyFill="1" applyBorder="1" applyAlignment="1">
      <alignment horizontal="left" vertical="center" wrapText="1"/>
    </xf>
    <xf numFmtId="0" fontId="57" fillId="24" borderId="91" xfId="0" applyFont="1" applyFill="1" applyBorder="1" applyAlignment="1">
      <alignment horizontal="center" vertical="center"/>
    </xf>
    <xf numFmtId="0" fontId="57" fillId="24" borderId="51" xfId="0" applyFont="1" applyFill="1" applyBorder="1" applyAlignment="1">
      <alignment horizontal="center" vertical="center"/>
    </xf>
    <xf numFmtId="49" fontId="57" fillId="24" borderId="18" xfId="0" applyNumberFormat="1" applyFont="1" applyFill="1" applyBorder="1" applyAlignment="1">
      <alignment horizontal="center" vertical="center"/>
    </xf>
    <xf numFmtId="49" fontId="57" fillId="24" borderId="33" xfId="0" applyNumberFormat="1" applyFont="1" applyFill="1" applyBorder="1" applyAlignment="1">
      <alignment horizontal="center" vertical="center"/>
    </xf>
    <xf numFmtId="49" fontId="57" fillId="24" borderId="18" xfId="0" applyNumberFormat="1" applyFont="1" applyFill="1" applyBorder="1" applyAlignment="1">
      <alignment horizontal="center" vertical="center" wrapText="1"/>
    </xf>
    <xf numFmtId="3" fontId="57" fillId="24" borderId="18" xfId="0" applyNumberFormat="1" applyFont="1" applyFill="1" applyBorder="1" applyAlignment="1">
      <alignment horizontal="center" vertical="center" wrapText="1"/>
    </xf>
    <xf numFmtId="3" fontId="57" fillId="24" borderId="33" xfId="0" applyNumberFormat="1" applyFont="1" applyFill="1" applyBorder="1" applyAlignment="1">
      <alignment horizontal="center" vertical="center"/>
    </xf>
    <xf numFmtId="0" fontId="36" fillId="0" borderId="27" xfId="0" applyFont="1" applyBorder="1" applyAlignment="1">
      <alignment horizontal="left" vertical="center" wrapText="1"/>
    </xf>
    <xf numFmtId="0" fontId="36" fillId="0" borderId="42" xfId="0" applyFont="1" applyBorder="1" applyAlignment="1">
      <alignment horizontal="left" vertical="center" wrapText="1"/>
    </xf>
    <xf numFmtId="0" fontId="36" fillId="0" borderId="43" xfId="0" applyFont="1" applyBorder="1" applyAlignment="1">
      <alignment horizontal="left" vertical="center" wrapText="1"/>
    </xf>
    <xf numFmtId="0" fontId="36" fillId="0" borderId="40" xfId="0" applyFont="1" applyBorder="1" applyAlignment="1">
      <alignment horizontal="left" vertical="center" wrapText="1"/>
    </xf>
    <xf numFmtId="0" fontId="36" fillId="0" borderId="90" xfId="0" applyFont="1" applyBorder="1" applyAlignment="1">
      <alignment horizontal="left" vertical="center" wrapText="1"/>
    </xf>
    <xf numFmtId="0" fontId="36" fillId="0" borderId="85" xfId="0" applyFont="1" applyBorder="1" applyAlignment="1">
      <alignment horizontal="left" vertical="center" wrapText="1"/>
    </xf>
    <xf numFmtId="0" fontId="57" fillId="29" borderId="27" xfId="0" applyFont="1" applyFill="1" applyBorder="1" applyAlignment="1">
      <alignment horizontal="left" vertical="center" wrapText="1"/>
    </xf>
    <xf numFmtId="0" fontId="57" fillId="29" borderId="42" xfId="0" applyFont="1" applyFill="1" applyBorder="1" applyAlignment="1">
      <alignment horizontal="left" vertical="center" wrapText="1"/>
    </xf>
    <xf numFmtId="0" fontId="57" fillId="29" borderId="43" xfId="0" applyFont="1" applyFill="1" applyBorder="1" applyAlignment="1">
      <alignment horizontal="left" vertical="center" wrapText="1"/>
    </xf>
    <xf numFmtId="0" fontId="57" fillId="28" borderId="64" xfId="0" applyFont="1" applyFill="1" applyBorder="1" applyAlignment="1">
      <alignment horizontal="left" vertical="center" wrapText="1"/>
    </xf>
    <xf numFmtId="0" fontId="57" fillId="28" borderId="0" xfId="0" applyFont="1" applyFill="1" applyAlignment="1">
      <alignment horizontal="left" vertical="center" wrapText="1"/>
    </xf>
    <xf numFmtId="0" fontId="60" fillId="0" borderId="11" xfId="0" applyFont="1" applyBorder="1" applyAlignment="1">
      <alignment vertical="center" wrapText="1"/>
    </xf>
    <xf numFmtId="0" fontId="60" fillId="0" borderId="25" xfId="0" applyFont="1" applyBorder="1" applyAlignment="1">
      <alignment vertical="center" wrapText="1"/>
    </xf>
    <xf numFmtId="0" fontId="36" fillId="0" borderId="40" xfId="0" applyFont="1" applyBorder="1" applyAlignment="1">
      <alignment vertical="center" wrapText="1"/>
    </xf>
    <xf numFmtId="0" fontId="36" fillId="0" borderId="90" xfId="0" applyFont="1" applyBorder="1" applyAlignment="1">
      <alignment vertical="center" wrapText="1"/>
    </xf>
    <xf numFmtId="0" fontId="36" fillId="0" borderId="85" xfId="0" applyFont="1" applyBorder="1" applyAlignment="1">
      <alignment vertical="center" wrapText="1"/>
    </xf>
    <xf numFmtId="0" fontId="36" fillId="0" borderId="27" xfId="0" applyFont="1" applyBorder="1" applyAlignment="1">
      <alignment vertical="center" wrapText="1"/>
    </xf>
    <xf numFmtId="0" fontId="36" fillId="0" borderId="42" xfId="0" applyFont="1" applyBorder="1" applyAlignment="1">
      <alignment vertical="center" wrapText="1"/>
    </xf>
    <xf numFmtId="0" fontId="36" fillId="0" borderId="43" xfId="0" applyFont="1" applyBorder="1" applyAlignment="1">
      <alignment vertical="center" wrapText="1"/>
    </xf>
    <xf numFmtId="0" fontId="37" fillId="27" borderId="27" xfId="0" applyFont="1" applyFill="1" applyBorder="1" applyAlignment="1">
      <alignment horizontal="left" vertical="center" wrapText="1"/>
    </xf>
    <xf numFmtId="0" fontId="37" fillId="27" borderId="42" xfId="0" applyFont="1" applyFill="1" applyBorder="1" applyAlignment="1">
      <alignment horizontal="left" vertical="center" wrapText="1"/>
    </xf>
    <xf numFmtId="0" fontId="37" fillId="27" borderId="43" xfId="0" applyFont="1" applyFill="1" applyBorder="1" applyAlignment="1">
      <alignment horizontal="left" vertical="center" wrapText="1"/>
    </xf>
    <xf numFmtId="0" fontId="46" fillId="28" borderId="64" xfId="0" applyFont="1" applyFill="1" applyBorder="1" applyAlignment="1">
      <alignment horizontal="left" vertical="center" wrapText="1"/>
    </xf>
    <xf numFmtId="0" fontId="46" fillId="28" borderId="0" xfId="0" applyFont="1" applyFill="1" applyAlignment="1">
      <alignment horizontal="left" vertical="center" wrapText="1"/>
    </xf>
    <xf numFmtId="0" fontId="37" fillId="24" borderId="91" xfId="0" applyFont="1" applyFill="1" applyBorder="1" applyAlignment="1">
      <alignment horizontal="center" vertical="center"/>
    </xf>
    <xf numFmtId="0" fontId="37" fillId="24" borderId="51" xfId="0" applyFont="1" applyFill="1" applyBorder="1" applyAlignment="1">
      <alignment horizontal="center" vertical="center"/>
    </xf>
    <xf numFmtId="0" fontId="37" fillId="24" borderId="18" xfId="0" applyFont="1" applyFill="1" applyBorder="1" applyAlignment="1">
      <alignment horizontal="center" vertical="center"/>
    </xf>
    <xf numFmtId="0" fontId="37" fillId="24" borderId="33" xfId="0" applyFont="1" applyFill="1" applyBorder="1" applyAlignment="1">
      <alignment horizontal="center" vertical="center"/>
    </xf>
    <xf numFmtId="49" fontId="37" fillId="24" borderId="106" xfId="0" applyNumberFormat="1" applyFont="1" applyFill="1" applyBorder="1" applyAlignment="1">
      <alignment horizontal="center" vertical="center" wrapText="1"/>
    </xf>
    <xf numFmtId="49" fontId="37" fillId="24" borderId="107" xfId="0" applyNumberFormat="1" applyFont="1" applyFill="1" applyBorder="1" applyAlignment="1">
      <alignment horizontal="center" vertical="center" wrapText="1"/>
    </xf>
    <xf numFmtId="49" fontId="37" fillId="24" borderId="100" xfId="0" applyNumberFormat="1" applyFont="1" applyFill="1" applyBorder="1" applyAlignment="1">
      <alignment horizontal="center" vertical="center" wrapText="1"/>
    </xf>
    <xf numFmtId="49" fontId="37" fillId="24" borderId="35" xfId="0" applyNumberFormat="1" applyFont="1" applyFill="1" applyBorder="1" applyAlignment="1">
      <alignment horizontal="center" vertical="center" wrapText="1"/>
    </xf>
    <xf numFmtId="49" fontId="37" fillId="24" borderId="96" xfId="0" applyNumberFormat="1" applyFont="1" applyFill="1" applyBorder="1" applyAlignment="1">
      <alignment horizontal="center" vertical="center" wrapText="1"/>
    </xf>
    <xf numFmtId="49" fontId="37" fillId="24" borderId="84" xfId="0" applyNumberFormat="1" applyFont="1" applyFill="1" applyBorder="1" applyAlignment="1">
      <alignment horizontal="center" vertical="center" wrapText="1"/>
    </xf>
    <xf numFmtId="3" fontId="37" fillId="24" borderId="106" xfId="0" applyNumberFormat="1" applyFont="1" applyFill="1" applyBorder="1" applyAlignment="1">
      <alignment horizontal="center" vertical="center" wrapText="1"/>
    </xf>
    <xf numFmtId="3" fontId="37" fillId="24" borderId="107" xfId="0" applyNumberFormat="1" applyFont="1" applyFill="1" applyBorder="1" applyAlignment="1">
      <alignment horizontal="center" vertical="center" wrapText="1"/>
    </xf>
    <xf numFmtId="3" fontId="37" fillId="24" borderId="100" xfId="0" applyNumberFormat="1" applyFont="1" applyFill="1" applyBorder="1" applyAlignment="1">
      <alignment horizontal="center" vertical="center" wrapText="1"/>
    </xf>
    <xf numFmtId="3" fontId="37" fillId="24" borderId="35" xfId="0" applyNumberFormat="1" applyFont="1" applyFill="1" applyBorder="1" applyAlignment="1">
      <alignment horizontal="center" vertical="center" wrapText="1"/>
    </xf>
    <xf numFmtId="3" fontId="37" fillId="24" borderId="96" xfId="0" applyNumberFormat="1" applyFont="1" applyFill="1" applyBorder="1" applyAlignment="1">
      <alignment horizontal="center" vertical="center" wrapText="1"/>
    </xf>
    <xf numFmtId="3" fontId="37" fillId="24" borderId="84" xfId="0" applyNumberFormat="1" applyFont="1" applyFill="1" applyBorder="1" applyAlignment="1">
      <alignment horizontal="center" vertical="center" wrapText="1"/>
    </xf>
    <xf numFmtId="3" fontId="37" fillId="24" borderId="18" xfId="0" applyNumberFormat="1" applyFont="1" applyFill="1" applyBorder="1" applyAlignment="1">
      <alignment horizontal="center" vertical="center" wrapText="1"/>
    </xf>
    <xf numFmtId="3" fontId="37" fillId="24" borderId="33" xfId="0" applyNumberFormat="1" applyFont="1" applyFill="1" applyBorder="1" applyAlignment="1">
      <alignment horizontal="center" vertical="center"/>
    </xf>
    <xf numFmtId="3" fontId="37" fillId="24" borderId="93" xfId="0" applyNumberFormat="1" applyFont="1" applyFill="1" applyBorder="1" applyAlignment="1">
      <alignment horizontal="center" vertical="center"/>
    </xf>
    <xf numFmtId="49" fontId="37" fillId="24" borderId="18" xfId="0" applyNumberFormat="1" applyFont="1" applyFill="1" applyBorder="1" applyAlignment="1">
      <alignment horizontal="center" vertical="center"/>
    </xf>
    <xf numFmtId="49" fontId="37" fillId="24" borderId="33" xfId="0" applyNumberFormat="1" applyFont="1" applyFill="1" applyBorder="1" applyAlignment="1">
      <alignment horizontal="center" vertical="center"/>
    </xf>
    <xf numFmtId="0" fontId="60" fillId="0" borderId="43" xfId="0" applyFont="1" applyBorder="1" applyAlignment="1">
      <alignment vertical="center" wrapText="1"/>
    </xf>
    <xf numFmtId="0" fontId="60" fillId="0" borderId="40" xfId="0" applyFont="1" applyBorder="1" applyAlignment="1">
      <alignment vertical="center" wrapText="1"/>
    </xf>
    <xf numFmtId="0" fontId="60" fillId="0" borderId="90" xfId="0" applyFont="1" applyBorder="1" applyAlignment="1">
      <alignment vertical="center" wrapText="1"/>
    </xf>
    <xf numFmtId="0" fontId="60" fillId="0" borderId="85" xfId="0" applyFont="1" applyBorder="1" applyAlignment="1">
      <alignment vertical="center" wrapText="1"/>
    </xf>
    <xf numFmtId="0" fontId="60" fillId="0" borderId="11" xfId="0" applyFont="1" applyBorder="1" applyAlignment="1">
      <alignment horizontal="left" vertical="center" wrapText="1"/>
    </xf>
    <xf numFmtId="0" fontId="60" fillId="0" borderId="25" xfId="0" applyFont="1" applyBorder="1" applyAlignment="1">
      <alignment horizontal="left" vertical="center" wrapText="1"/>
    </xf>
    <xf numFmtId="0" fontId="57" fillId="27" borderId="61" xfId="0" applyFont="1" applyFill="1" applyBorder="1" applyAlignment="1">
      <alignment horizontal="left" vertical="center" wrapText="1"/>
    </xf>
    <xf numFmtId="0" fontId="60" fillId="0" borderId="36" xfId="0" applyFont="1" applyBorder="1" applyAlignment="1">
      <alignment vertical="center" wrapText="1"/>
    </xf>
    <xf numFmtId="0" fontId="60" fillId="0" borderId="39" xfId="0" applyFont="1" applyBorder="1" applyAlignment="1">
      <alignment vertical="center" wrapText="1"/>
    </xf>
    <xf numFmtId="0" fontId="60" fillId="0" borderId="57" xfId="0" applyFont="1" applyBorder="1" applyAlignment="1">
      <alignment vertical="center" wrapText="1"/>
    </xf>
    <xf numFmtId="0" fontId="60" fillId="0" borderId="43" xfId="0" applyFont="1" applyBorder="1" applyAlignment="1">
      <alignment horizontal="left" vertical="center" wrapText="1"/>
    </xf>
    <xf numFmtId="0" fontId="60" fillId="0" borderId="40" xfId="0" applyFont="1" applyBorder="1" applyAlignment="1">
      <alignment horizontal="center" vertical="center" wrapText="1"/>
    </xf>
    <xf numFmtId="0" fontId="60" fillId="0" borderId="90" xfId="0" applyFont="1" applyBorder="1" applyAlignment="1">
      <alignment horizontal="center" vertical="center" wrapText="1"/>
    </xf>
    <xf numFmtId="0" fontId="60" fillId="0" borderId="85" xfId="0" applyFont="1" applyBorder="1" applyAlignment="1">
      <alignment horizontal="center" vertical="center" wrapText="1"/>
    </xf>
    <xf numFmtId="0" fontId="61" fillId="0" borderId="27" xfId="0" applyFont="1" applyBorder="1" applyAlignment="1">
      <alignment horizontal="left" vertical="center" wrapText="1"/>
    </xf>
    <xf numFmtId="0" fontId="61" fillId="0" borderId="42" xfId="0" applyFont="1" applyBorder="1" applyAlignment="1">
      <alignment horizontal="left" vertical="center" wrapText="1"/>
    </xf>
    <xf numFmtId="0" fontId="61" fillId="0" borderId="43" xfId="0" applyFont="1" applyBorder="1" applyAlignment="1">
      <alignment horizontal="left" vertical="center" wrapText="1"/>
    </xf>
    <xf numFmtId="3" fontId="57" fillId="24" borderId="92" xfId="0" applyNumberFormat="1" applyFont="1" applyFill="1" applyBorder="1" applyAlignment="1">
      <alignment horizontal="center" vertical="center"/>
    </xf>
    <xf numFmtId="3" fontId="57" fillId="24" borderId="88" xfId="0" applyNumberFormat="1" applyFont="1" applyFill="1" applyBorder="1" applyAlignment="1">
      <alignment horizontal="center" vertical="center"/>
    </xf>
    <xf numFmtId="3" fontId="57" fillId="24" borderId="93" xfId="0" applyNumberFormat="1" applyFont="1" applyFill="1" applyBorder="1" applyAlignment="1">
      <alignment horizontal="center" vertical="center"/>
    </xf>
    <xf numFmtId="3" fontId="57" fillId="24" borderId="89" xfId="0" applyNumberFormat="1" applyFont="1" applyFill="1" applyBorder="1" applyAlignment="1">
      <alignment horizontal="center" vertical="center"/>
    </xf>
    <xf numFmtId="0" fontId="57" fillId="29" borderId="12" xfId="0" applyFont="1" applyFill="1" applyBorder="1" applyAlignment="1">
      <alignment horizontal="center" vertical="center" wrapText="1"/>
    </xf>
    <xf numFmtId="0" fontId="57" fillId="29" borderId="11" xfId="0" applyFont="1" applyFill="1" applyBorder="1" applyAlignment="1">
      <alignment horizontal="left" vertical="center" wrapText="1"/>
    </xf>
    <xf numFmtId="0" fontId="57" fillId="29" borderId="11" xfId="0" applyFont="1" applyFill="1" applyBorder="1" applyAlignment="1">
      <alignment horizontal="center" vertical="center" wrapText="1"/>
    </xf>
    <xf numFmtId="0" fontId="59" fillId="0" borderId="12" xfId="0" applyFont="1" applyBorder="1" applyAlignment="1">
      <alignment horizontal="center" vertical="center" wrapText="1"/>
    </xf>
    <xf numFmtId="0" fontId="59" fillId="0" borderId="11" xfId="0" applyFont="1" applyBorder="1" applyAlignment="1">
      <alignment horizontal="left" vertical="center" wrapText="1"/>
    </xf>
    <xf numFmtId="0" fontId="59" fillId="0" borderId="11" xfId="0" applyFont="1" applyBorder="1" applyAlignment="1">
      <alignment horizontal="center" vertical="center" wrapText="1"/>
    </xf>
    <xf numFmtId="0" fontId="57" fillId="0" borderId="11" xfId="0" applyFont="1" applyBorder="1" applyAlignment="1">
      <alignment horizontal="center" vertical="center" wrapText="1"/>
    </xf>
    <xf numFmtId="3" fontId="57" fillId="29" borderId="11" xfId="0" applyNumberFormat="1" applyFont="1" applyFill="1" applyBorder="1" applyAlignment="1">
      <alignment horizontal="center" vertical="center" wrapText="1"/>
    </xf>
    <xf numFmtId="3" fontId="57" fillId="29" borderId="13" xfId="0" applyNumberFormat="1" applyFont="1" applyFill="1" applyBorder="1" applyAlignment="1">
      <alignment horizontal="center" vertical="center" wrapText="1"/>
    </xf>
    <xf numFmtId="0" fontId="57" fillId="0" borderId="11" xfId="0" applyFont="1" applyBorder="1" applyAlignment="1">
      <alignment horizontal="left" vertical="center" wrapText="1"/>
    </xf>
    <xf numFmtId="0" fontId="57" fillId="29" borderId="13" xfId="0" applyFont="1" applyFill="1" applyBorder="1" applyAlignment="1">
      <alignment horizontal="center" vertical="center" wrapText="1"/>
    </xf>
    <xf numFmtId="0" fontId="57" fillId="29" borderId="13" xfId="0" applyFont="1" applyFill="1" applyBorder="1" applyAlignment="1">
      <alignment horizontal="left" vertical="center" wrapText="1"/>
    </xf>
    <xf numFmtId="0" fontId="60" fillId="0" borderId="12" xfId="0" applyFont="1" applyBorder="1" applyAlignment="1">
      <alignment horizontal="center" vertical="center" wrapText="1"/>
    </xf>
    <xf numFmtId="0" fontId="59" fillId="0" borderId="11" xfId="0" applyFont="1" applyBorder="1" applyAlignment="1">
      <alignment vertical="center" wrapText="1"/>
    </xf>
    <xf numFmtId="0" fontId="57" fillId="0" borderId="12" xfId="0" applyFont="1" applyBorder="1" applyAlignment="1">
      <alignment horizontal="center" vertical="center" wrapText="1"/>
    </xf>
    <xf numFmtId="0" fontId="60" fillId="0" borderId="11" xfId="0" applyFont="1" applyBorder="1" applyAlignment="1">
      <alignment horizontal="center" vertical="center" wrapText="1"/>
    </xf>
    <xf numFmtId="0" fontId="57" fillId="29" borderId="11" xfId="0" applyFont="1" applyFill="1" applyBorder="1" applyAlignment="1">
      <alignment vertical="center" wrapText="1"/>
    </xf>
    <xf numFmtId="3" fontId="30" fillId="29" borderId="11" xfId="0" applyNumberFormat="1" applyFont="1" applyFill="1" applyBorder="1" applyAlignment="1">
      <alignment horizontal="center" vertical="center" wrapText="1"/>
    </xf>
    <xf numFmtId="3" fontId="30" fillId="29" borderId="13" xfId="0" applyNumberFormat="1" applyFont="1" applyFill="1" applyBorder="1" applyAlignment="1">
      <alignment horizontal="center" vertical="center" wrapText="1"/>
    </xf>
    <xf numFmtId="3" fontId="57" fillId="29" borderId="12" xfId="0" applyNumberFormat="1" applyFont="1" applyFill="1" applyBorder="1" applyAlignment="1">
      <alignment horizontal="center" vertical="center" wrapText="1"/>
    </xf>
    <xf numFmtId="3" fontId="30" fillId="29" borderId="12" xfId="0" applyNumberFormat="1" applyFont="1" applyFill="1" applyBorder="1" applyAlignment="1">
      <alignment horizontal="center" vertical="center" wrapText="1"/>
    </xf>
    <xf numFmtId="0" fontId="60" fillId="0" borderId="45" xfId="0" applyFont="1" applyBorder="1" applyAlignment="1">
      <alignment horizontal="center" vertical="center" wrapText="1"/>
    </xf>
    <xf numFmtId="0" fontId="60" fillId="0" borderId="46" xfId="0" applyFont="1" applyBorder="1" applyAlignment="1">
      <alignment horizontal="center" vertical="center" wrapText="1"/>
    </xf>
    <xf numFmtId="0" fontId="60" fillId="0" borderId="34" xfId="0" applyFont="1" applyBorder="1" applyAlignment="1">
      <alignment horizontal="center" vertical="center" wrapText="1"/>
    </xf>
    <xf numFmtId="0" fontId="57" fillId="28" borderId="11" xfId="0" applyFont="1" applyFill="1" applyBorder="1" applyAlignment="1">
      <alignment horizontal="left" vertical="center" wrapText="1"/>
    </xf>
    <xf numFmtId="49" fontId="57" fillId="29" borderId="12" xfId="0" applyNumberFormat="1" applyFont="1" applyFill="1" applyBorder="1" applyAlignment="1">
      <alignment horizontal="center" vertical="center" wrapText="1"/>
    </xf>
    <xf numFmtId="49" fontId="57" fillId="29" borderId="34" xfId="0" applyNumberFormat="1" applyFont="1" applyFill="1" applyBorder="1" applyAlignment="1">
      <alignment horizontal="center" vertical="center" wrapText="1"/>
    </xf>
    <xf numFmtId="0" fontId="57" fillId="29" borderId="14" xfId="0" applyFont="1" applyFill="1" applyBorder="1" applyAlignment="1">
      <alignment horizontal="left" vertical="center" wrapText="1"/>
    </xf>
    <xf numFmtId="0" fontId="57" fillId="29" borderId="14" xfId="0" applyFont="1" applyFill="1" applyBorder="1" applyAlignment="1">
      <alignment horizontal="center" vertical="center" wrapText="1"/>
    </xf>
    <xf numFmtId="0" fontId="57" fillId="24" borderId="55" xfId="0" applyFont="1" applyFill="1" applyBorder="1" applyAlignment="1">
      <alignment horizontal="center" vertical="center" wrapText="1"/>
    </xf>
    <xf numFmtId="0" fontId="57" fillId="24" borderId="11" xfId="0" applyFont="1" applyFill="1" applyBorder="1" applyAlignment="1">
      <alignment horizontal="center" vertical="center" wrapText="1"/>
    </xf>
    <xf numFmtId="0" fontId="57" fillId="24" borderId="22" xfId="0" applyFont="1" applyFill="1" applyBorder="1" applyAlignment="1">
      <alignment horizontal="center" vertical="center" wrapText="1"/>
    </xf>
    <xf numFmtId="0" fontId="57" fillId="24" borderId="94" xfId="0" applyFont="1" applyFill="1" applyBorder="1" applyAlignment="1">
      <alignment horizontal="center" vertical="center" wrapText="1"/>
    </xf>
    <xf numFmtId="0" fontId="57" fillId="24" borderId="12" xfId="0" applyFont="1" applyFill="1" applyBorder="1" applyAlignment="1">
      <alignment horizontal="center" vertical="center" wrapText="1"/>
    </xf>
    <xf numFmtId="0" fontId="57" fillId="24" borderId="21" xfId="0" applyFont="1" applyFill="1" applyBorder="1" applyAlignment="1">
      <alignment horizontal="center" vertical="center" wrapText="1"/>
    </xf>
    <xf numFmtId="0" fontId="57" fillId="24" borderId="59" xfId="0" applyFont="1" applyFill="1" applyBorder="1" applyAlignment="1">
      <alignment horizontal="center" vertical="center" wrapText="1"/>
    </xf>
    <xf numFmtId="0" fontId="57" fillId="24" borderId="62" xfId="0" applyFont="1" applyFill="1" applyBorder="1" applyAlignment="1">
      <alignment horizontal="center" vertical="center" wrapText="1"/>
    </xf>
    <xf numFmtId="0" fontId="57" fillId="24" borderId="53" xfId="0" applyFont="1" applyFill="1" applyBorder="1" applyAlignment="1">
      <alignment horizontal="center" vertical="center" wrapText="1"/>
    </xf>
    <xf numFmtId="0" fontId="57" fillId="24" borderId="18" xfId="0" applyFont="1" applyFill="1" applyBorder="1" applyAlignment="1">
      <alignment horizontal="center" vertical="center" wrapText="1"/>
    </xf>
    <xf numFmtId="0" fontId="57" fillId="24" borderId="61" xfId="0" applyFont="1" applyFill="1" applyBorder="1" applyAlignment="1">
      <alignment horizontal="center" vertical="center" wrapText="1"/>
    </xf>
    <xf numFmtId="0" fontId="39" fillId="0" borderId="38" xfId="0" applyFont="1" applyBorder="1" applyAlignment="1">
      <alignment horizontal="center" vertical="center" wrapText="1"/>
    </xf>
    <xf numFmtId="0" fontId="39" fillId="0" borderId="38" xfId="0" applyFont="1" applyBorder="1" applyAlignment="1">
      <alignment horizontal="left" vertical="center" wrapText="1"/>
    </xf>
    <xf numFmtId="49" fontId="36" fillId="0" borderId="38" xfId="0" applyNumberFormat="1" applyFont="1" applyBorder="1" applyAlignment="1">
      <alignment horizontal="center" vertical="center" wrapText="1"/>
    </xf>
    <xf numFmtId="0" fontId="36" fillId="0" borderId="38" xfId="0" applyFont="1" applyBorder="1" applyAlignment="1">
      <alignment horizontal="left" vertical="center" wrapText="1"/>
    </xf>
    <xf numFmtId="0" fontId="36" fillId="0" borderId="38" xfId="0" applyFont="1" applyBorder="1" applyAlignment="1">
      <alignment vertical="center" wrapText="1"/>
    </xf>
  </cellXfs>
  <cellStyles count="476">
    <cellStyle name="20% - Accent1" xfId="1" builtinId="30" customBuiltin="1"/>
    <cellStyle name="20% - Accent1 2" xfId="2" xr:uid="{00000000-0005-0000-0000-000001000000}"/>
    <cellStyle name="20% - Accent1 2 2" xfId="3" xr:uid="{00000000-0005-0000-0000-000002000000}"/>
    <cellStyle name="20% - Accent1 2 3" xfId="4" xr:uid="{00000000-0005-0000-0000-000003000000}"/>
    <cellStyle name="20% - Accent1 2 4" xfId="5" xr:uid="{00000000-0005-0000-0000-000004000000}"/>
    <cellStyle name="20% - Accent1 3" xfId="6" xr:uid="{00000000-0005-0000-0000-000005000000}"/>
    <cellStyle name="20% - Accent1 3 2" xfId="7" xr:uid="{00000000-0005-0000-0000-000006000000}"/>
    <cellStyle name="20% - Accent1 4" xfId="8" xr:uid="{00000000-0005-0000-0000-000007000000}"/>
    <cellStyle name="20% - Accent1 4 2" xfId="9" xr:uid="{00000000-0005-0000-0000-000008000000}"/>
    <cellStyle name="20% - Accent1 5" xfId="10" xr:uid="{00000000-0005-0000-0000-000009000000}"/>
    <cellStyle name="20% - Accent2" xfId="11" builtinId="34" customBuiltin="1"/>
    <cellStyle name="20% - Accent2 2" xfId="12" xr:uid="{00000000-0005-0000-0000-00000B000000}"/>
    <cellStyle name="20% - Accent2 2 2" xfId="13" xr:uid="{00000000-0005-0000-0000-00000C000000}"/>
    <cellStyle name="20% - Accent2 2 3" xfId="14" xr:uid="{00000000-0005-0000-0000-00000D000000}"/>
    <cellStyle name="20% - Accent2 2 4" xfId="15" xr:uid="{00000000-0005-0000-0000-00000E000000}"/>
    <cellStyle name="20% - Accent2 3" xfId="16" xr:uid="{00000000-0005-0000-0000-00000F000000}"/>
    <cellStyle name="20% - Accent2 3 2" xfId="17" xr:uid="{00000000-0005-0000-0000-000010000000}"/>
    <cellStyle name="20% - Accent2 4" xfId="18" xr:uid="{00000000-0005-0000-0000-000011000000}"/>
    <cellStyle name="20% - Accent2 4 2" xfId="19" xr:uid="{00000000-0005-0000-0000-000012000000}"/>
    <cellStyle name="20% - Accent2 5" xfId="20" xr:uid="{00000000-0005-0000-0000-000013000000}"/>
    <cellStyle name="20% - Accent3" xfId="21" builtinId="38" customBuiltin="1"/>
    <cellStyle name="20% - Accent3 2" xfId="22" xr:uid="{00000000-0005-0000-0000-000015000000}"/>
    <cellStyle name="20% - Accent3 2 2" xfId="23" xr:uid="{00000000-0005-0000-0000-000016000000}"/>
    <cellStyle name="20% - Accent3 2 3" xfId="24" xr:uid="{00000000-0005-0000-0000-000017000000}"/>
    <cellStyle name="20% - Accent3 2 4" xfId="25" xr:uid="{00000000-0005-0000-0000-000018000000}"/>
    <cellStyle name="20% - Accent3 3" xfId="26" xr:uid="{00000000-0005-0000-0000-000019000000}"/>
    <cellStyle name="20% - Accent3 3 2" xfId="27" xr:uid="{00000000-0005-0000-0000-00001A000000}"/>
    <cellStyle name="20% - Accent3 4" xfId="28" xr:uid="{00000000-0005-0000-0000-00001B000000}"/>
    <cellStyle name="20% - Accent3 4 2" xfId="29" xr:uid="{00000000-0005-0000-0000-00001C000000}"/>
    <cellStyle name="20% - Accent3 5" xfId="30" xr:uid="{00000000-0005-0000-0000-00001D000000}"/>
    <cellStyle name="20% - Accent4" xfId="31" builtinId="42" customBuiltin="1"/>
    <cellStyle name="20% - Accent4 2" xfId="32" xr:uid="{00000000-0005-0000-0000-00001F000000}"/>
    <cellStyle name="20% - Accent4 2 2" xfId="33" xr:uid="{00000000-0005-0000-0000-000020000000}"/>
    <cellStyle name="20% - Accent4 2 3" xfId="34" xr:uid="{00000000-0005-0000-0000-000021000000}"/>
    <cellStyle name="20% - Accent4 2 4" xfId="35" xr:uid="{00000000-0005-0000-0000-000022000000}"/>
    <cellStyle name="20% - Accent4 3" xfId="36" xr:uid="{00000000-0005-0000-0000-000023000000}"/>
    <cellStyle name="20% - Accent4 3 2" xfId="37" xr:uid="{00000000-0005-0000-0000-000024000000}"/>
    <cellStyle name="20% - Accent4 4" xfId="38" xr:uid="{00000000-0005-0000-0000-000025000000}"/>
    <cellStyle name="20% - Accent4 4 2" xfId="39" xr:uid="{00000000-0005-0000-0000-000026000000}"/>
    <cellStyle name="20% - Accent4 5" xfId="40" xr:uid="{00000000-0005-0000-0000-000027000000}"/>
    <cellStyle name="20% - Accent5" xfId="41" builtinId="46" customBuiltin="1"/>
    <cellStyle name="20% - Accent5 2" xfId="42" xr:uid="{00000000-0005-0000-0000-000029000000}"/>
    <cellStyle name="20% - Accent5 2 2" xfId="43" xr:uid="{00000000-0005-0000-0000-00002A000000}"/>
    <cellStyle name="20% - Accent5 2 3" xfId="44" xr:uid="{00000000-0005-0000-0000-00002B000000}"/>
    <cellStyle name="20% - Accent5 2 4" xfId="45" xr:uid="{00000000-0005-0000-0000-00002C000000}"/>
    <cellStyle name="20% - Accent5 3" xfId="46" xr:uid="{00000000-0005-0000-0000-00002D000000}"/>
    <cellStyle name="20% - Accent5 3 2" xfId="47" xr:uid="{00000000-0005-0000-0000-00002E000000}"/>
    <cellStyle name="20% - Accent5 4" xfId="48" xr:uid="{00000000-0005-0000-0000-00002F000000}"/>
    <cellStyle name="20% - Accent5 4 2" xfId="49" xr:uid="{00000000-0005-0000-0000-000030000000}"/>
    <cellStyle name="20% - Accent5 5" xfId="50" xr:uid="{00000000-0005-0000-0000-000031000000}"/>
    <cellStyle name="20% - Accent6" xfId="51" builtinId="50" customBuiltin="1"/>
    <cellStyle name="20% - Accent6 2" xfId="52" xr:uid="{00000000-0005-0000-0000-000033000000}"/>
    <cellStyle name="20% - Accent6 2 2" xfId="53" xr:uid="{00000000-0005-0000-0000-000034000000}"/>
    <cellStyle name="20% - Accent6 2 3" xfId="54" xr:uid="{00000000-0005-0000-0000-000035000000}"/>
    <cellStyle name="20% - Accent6 2 4" xfId="55" xr:uid="{00000000-0005-0000-0000-000036000000}"/>
    <cellStyle name="20% - Accent6 3" xfId="56" xr:uid="{00000000-0005-0000-0000-000037000000}"/>
    <cellStyle name="20% - Accent6 3 2" xfId="57" xr:uid="{00000000-0005-0000-0000-000038000000}"/>
    <cellStyle name="20% - Accent6 4" xfId="58" xr:uid="{00000000-0005-0000-0000-000039000000}"/>
    <cellStyle name="20% - Accent6 4 2" xfId="59" xr:uid="{00000000-0005-0000-0000-00003A000000}"/>
    <cellStyle name="20% - Accent6 5" xfId="60" xr:uid="{00000000-0005-0000-0000-00003B000000}"/>
    <cellStyle name="40% - Accent1" xfId="61" builtinId="31" customBuiltin="1"/>
    <cellStyle name="40% - Accent1 2" xfId="62" xr:uid="{00000000-0005-0000-0000-00003D000000}"/>
    <cellStyle name="40% - Accent1 2 2" xfId="63" xr:uid="{00000000-0005-0000-0000-00003E000000}"/>
    <cellStyle name="40% - Accent1 2 3" xfId="64" xr:uid="{00000000-0005-0000-0000-00003F000000}"/>
    <cellStyle name="40% - Accent1 2 4" xfId="65" xr:uid="{00000000-0005-0000-0000-000040000000}"/>
    <cellStyle name="40% - Accent1 3" xfId="66" xr:uid="{00000000-0005-0000-0000-000041000000}"/>
    <cellStyle name="40% - Accent1 3 2" xfId="67" xr:uid="{00000000-0005-0000-0000-000042000000}"/>
    <cellStyle name="40% - Accent1 4" xfId="68" xr:uid="{00000000-0005-0000-0000-000043000000}"/>
    <cellStyle name="40% - Accent1 4 2" xfId="69" xr:uid="{00000000-0005-0000-0000-000044000000}"/>
    <cellStyle name="40% - Accent1 5" xfId="70" xr:uid="{00000000-0005-0000-0000-000045000000}"/>
    <cellStyle name="40% - Accent2" xfId="71" builtinId="35" customBuiltin="1"/>
    <cellStyle name="40% - Accent2 2" xfId="72" xr:uid="{00000000-0005-0000-0000-000047000000}"/>
    <cellStyle name="40% - Accent2 2 2" xfId="73" xr:uid="{00000000-0005-0000-0000-000048000000}"/>
    <cellStyle name="40% - Accent2 2 3" xfId="74" xr:uid="{00000000-0005-0000-0000-000049000000}"/>
    <cellStyle name="40% - Accent2 2 4" xfId="75" xr:uid="{00000000-0005-0000-0000-00004A000000}"/>
    <cellStyle name="40% - Accent2 3" xfId="76" xr:uid="{00000000-0005-0000-0000-00004B000000}"/>
    <cellStyle name="40% - Accent2 3 2" xfId="77" xr:uid="{00000000-0005-0000-0000-00004C000000}"/>
    <cellStyle name="40% - Accent2 4" xfId="78" xr:uid="{00000000-0005-0000-0000-00004D000000}"/>
    <cellStyle name="40% - Accent2 4 2" xfId="79" xr:uid="{00000000-0005-0000-0000-00004E000000}"/>
    <cellStyle name="40% - Accent2 5" xfId="80" xr:uid="{00000000-0005-0000-0000-00004F000000}"/>
    <cellStyle name="40% - Accent3" xfId="81" builtinId="39" customBuiltin="1"/>
    <cellStyle name="40% - Accent3 2" xfId="82" xr:uid="{00000000-0005-0000-0000-000051000000}"/>
    <cellStyle name="40% - Accent3 2 2" xfId="83" xr:uid="{00000000-0005-0000-0000-000052000000}"/>
    <cellStyle name="40% - Accent3 2 3" xfId="84" xr:uid="{00000000-0005-0000-0000-000053000000}"/>
    <cellStyle name="40% - Accent3 2 4" xfId="85" xr:uid="{00000000-0005-0000-0000-000054000000}"/>
    <cellStyle name="40% - Accent3 3" xfId="86" xr:uid="{00000000-0005-0000-0000-000055000000}"/>
    <cellStyle name="40% - Accent3 3 2" xfId="87" xr:uid="{00000000-0005-0000-0000-000056000000}"/>
    <cellStyle name="40% - Accent3 4" xfId="88" xr:uid="{00000000-0005-0000-0000-000057000000}"/>
    <cellStyle name="40% - Accent3 4 2" xfId="89" xr:uid="{00000000-0005-0000-0000-000058000000}"/>
    <cellStyle name="40% - Accent3 5" xfId="90" xr:uid="{00000000-0005-0000-0000-000059000000}"/>
    <cellStyle name="40% - Accent4" xfId="91" builtinId="43" customBuiltin="1"/>
    <cellStyle name="40% - Accent4 2" xfId="92" xr:uid="{00000000-0005-0000-0000-00005B000000}"/>
    <cellStyle name="40% - Accent4 2 2" xfId="93" xr:uid="{00000000-0005-0000-0000-00005C000000}"/>
    <cellStyle name="40% - Accent4 2 3" xfId="94" xr:uid="{00000000-0005-0000-0000-00005D000000}"/>
    <cellStyle name="40% - Accent4 2 4" xfId="95" xr:uid="{00000000-0005-0000-0000-00005E000000}"/>
    <cellStyle name="40% - Accent4 3" xfId="96" xr:uid="{00000000-0005-0000-0000-00005F000000}"/>
    <cellStyle name="40% - Accent4 3 2" xfId="97" xr:uid="{00000000-0005-0000-0000-000060000000}"/>
    <cellStyle name="40% - Accent4 4" xfId="98" xr:uid="{00000000-0005-0000-0000-000061000000}"/>
    <cellStyle name="40% - Accent4 4 2" xfId="99" xr:uid="{00000000-0005-0000-0000-000062000000}"/>
    <cellStyle name="40% - Accent4 5" xfId="100" xr:uid="{00000000-0005-0000-0000-000063000000}"/>
    <cellStyle name="40% - Accent5" xfId="101" builtinId="47" customBuiltin="1"/>
    <cellStyle name="40% - Accent5 2" xfId="102" xr:uid="{00000000-0005-0000-0000-000065000000}"/>
    <cellStyle name="40% - Accent5 2 2" xfId="103" xr:uid="{00000000-0005-0000-0000-000066000000}"/>
    <cellStyle name="40% - Accent5 2 3" xfId="104" xr:uid="{00000000-0005-0000-0000-000067000000}"/>
    <cellStyle name="40% - Accent5 2 4" xfId="105" xr:uid="{00000000-0005-0000-0000-000068000000}"/>
    <cellStyle name="40% - Accent5 3" xfId="106" xr:uid="{00000000-0005-0000-0000-000069000000}"/>
    <cellStyle name="40% - Accent5 3 2" xfId="107" xr:uid="{00000000-0005-0000-0000-00006A000000}"/>
    <cellStyle name="40% - Accent5 4" xfId="108" xr:uid="{00000000-0005-0000-0000-00006B000000}"/>
    <cellStyle name="40% - Accent5 4 2" xfId="109" xr:uid="{00000000-0005-0000-0000-00006C000000}"/>
    <cellStyle name="40% - Accent5 5" xfId="110" xr:uid="{00000000-0005-0000-0000-00006D000000}"/>
    <cellStyle name="40% - Accent6" xfId="111" builtinId="51" customBuiltin="1"/>
    <cellStyle name="40% - Accent6 2" xfId="112" xr:uid="{00000000-0005-0000-0000-00006F000000}"/>
    <cellStyle name="40% - Accent6 2 2" xfId="113" xr:uid="{00000000-0005-0000-0000-000070000000}"/>
    <cellStyle name="40% - Accent6 2 3" xfId="114" xr:uid="{00000000-0005-0000-0000-000071000000}"/>
    <cellStyle name="40% - Accent6 2 4" xfId="115" xr:uid="{00000000-0005-0000-0000-000072000000}"/>
    <cellStyle name="40% - Accent6 3" xfId="116" xr:uid="{00000000-0005-0000-0000-000073000000}"/>
    <cellStyle name="40% - Accent6 3 2" xfId="117" xr:uid="{00000000-0005-0000-0000-000074000000}"/>
    <cellStyle name="40% - Accent6 4" xfId="118" xr:uid="{00000000-0005-0000-0000-000075000000}"/>
    <cellStyle name="40% - Accent6 4 2" xfId="119" xr:uid="{00000000-0005-0000-0000-000076000000}"/>
    <cellStyle name="40% - Accent6 5" xfId="120" xr:uid="{00000000-0005-0000-0000-000077000000}"/>
    <cellStyle name="60% - Accent1" xfId="121" builtinId="32" customBuiltin="1"/>
    <cellStyle name="60% - Accent1 2" xfId="122" xr:uid="{00000000-0005-0000-0000-000079000000}"/>
    <cellStyle name="60% - Accent1 2 2" xfId="123" xr:uid="{00000000-0005-0000-0000-00007A000000}"/>
    <cellStyle name="60% - Accent1 2 3" xfId="124" xr:uid="{00000000-0005-0000-0000-00007B000000}"/>
    <cellStyle name="60% - Accent1 2 4" xfId="125" xr:uid="{00000000-0005-0000-0000-00007C000000}"/>
    <cellStyle name="60% - Accent1 3" xfId="126" xr:uid="{00000000-0005-0000-0000-00007D000000}"/>
    <cellStyle name="60% - Accent1 3 2" xfId="127" xr:uid="{00000000-0005-0000-0000-00007E000000}"/>
    <cellStyle name="60% - Accent1 4" xfId="128" xr:uid="{00000000-0005-0000-0000-00007F000000}"/>
    <cellStyle name="60% - Accent1 4 2" xfId="129" xr:uid="{00000000-0005-0000-0000-000080000000}"/>
    <cellStyle name="60% - Accent1 5" xfId="130" xr:uid="{00000000-0005-0000-0000-000081000000}"/>
    <cellStyle name="60% - Accent2" xfId="131" builtinId="36" customBuiltin="1"/>
    <cellStyle name="60% - Accent2 2" xfId="132" xr:uid="{00000000-0005-0000-0000-000083000000}"/>
    <cellStyle name="60% - Accent2 2 2" xfId="133" xr:uid="{00000000-0005-0000-0000-000084000000}"/>
    <cellStyle name="60% - Accent2 2 3" xfId="134" xr:uid="{00000000-0005-0000-0000-000085000000}"/>
    <cellStyle name="60% - Accent2 2 4" xfId="135" xr:uid="{00000000-0005-0000-0000-000086000000}"/>
    <cellStyle name="60% - Accent2 3" xfId="136" xr:uid="{00000000-0005-0000-0000-000087000000}"/>
    <cellStyle name="60% - Accent2 3 2" xfId="137" xr:uid="{00000000-0005-0000-0000-000088000000}"/>
    <cellStyle name="60% - Accent2 4" xfId="138" xr:uid="{00000000-0005-0000-0000-000089000000}"/>
    <cellStyle name="60% - Accent2 4 2" xfId="139" xr:uid="{00000000-0005-0000-0000-00008A000000}"/>
    <cellStyle name="60% - Accent2 5" xfId="140" xr:uid="{00000000-0005-0000-0000-00008B000000}"/>
    <cellStyle name="60% - Accent3" xfId="141" builtinId="40" customBuiltin="1"/>
    <cellStyle name="60% - Accent3 2" xfId="142" xr:uid="{00000000-0005-0000-0000-00008D000000}"/>
    <cellStyle name="60% - Accent3 2 2" xfId="143" xr:uid="{00000000-0005-0000-0000-00008E000000}"/>
    <cellStyle name="60% - Accent3 2 3" xfId="144" xr:uid="{00000000-0005-0000-0000-00008F000000}"/>
    <cellStyle name="60% - Accent3 2 4" xfId="145" xr:uid="{00000000-0005-0000-0000-000090000000}"/>
    <cellStyle name="60% - Accent3 3" xfId="146" xr:uid="{00000000-0005-0000-0000-000091000000}"/>
    <cellStyle name="60% - Accent3 3 2" xfId="147" xr:uid="{00000000-0005-0000-0000-000092000000}"/>
    <cellStyle name="60% - Accent3 4" xfId="148" xr:uid="{00000000-0005-0000-0000-000093000000}"/>
    <cellStyle name="60% - Accent3 4 2" xfId="149" xr:uid="{00000000-0005-0000-0000-000094000000}"/>
    <cellStyle name="60% - Accent3 5" xfId="150" xr:uid="{00000000-0005-0000-0000-000095000000}"/>
    <cellStyle name="60% - Accent4" xfId="151" builtinId="44" customBuiltin="1"/>
    <cellStyle name="60% - Accent4 2" xfId="152" xr:uid="{00000000-0005-0000-0000-000097000000}"/>
    <cellStyle name="60% - Accent4 2 2" xfId="153" xr:uid="{00000000-0005-0000-0000-000098000000}"/>
    <cellStyle name="60% - Accent4 2 3" xfId="154" xr:uid="{00000000-0005-0000-0000-000099000000}"/>
    <cellStyle name="60% - Accent4 2 4" xfId="155" xr:uid="{00000000-0005-0000-0000-00009A000000}"/>
    <cellStyle name="60% - Accent4 3" xfId="156" xr:uid="{00000000-0005-0000-0000-00009B000000}"/>
    <cellStyle name="60% - Accent4 3 2" xfId="157" xr:uid="{00000000-0005-0000-0000-00009C000000}"/>
    <cellStyle name="60% - Accent4 4" xfId="158" xr:uid="{00000000-0005-0000-0000-00009D000000}"/>
    <cellStyle name="60% - Accent4 4 2" xfId="159" xr:uid="{00000000-0005-0000-0000-00009E000000}"/>
    <cellStyle name="60% - Accent4 5" xfId="160" xr:uid="{00000000-0005-0000-0000-00009F000000}"/>
    <cellStyle name="60% - Accent5" xfId="161" builtinId="48" customBuiltin="1"/>
    <cellStyle name="60% - Accent5 2" xfId="162" xr:uid="{00000000-0005-0000-0000-0000A1000000}"/>
    <cellStyle name="60% - Accent5 2 2" xfId="163" xr:uid="{00000000-0005-0000-0000-0000A2000000}"/>
    <cellStyle name="60% - Accent5 2 3" xfId="164" xr:uid="{00000000-0005-0000-0000-0000A3000000}"/>
    <cellStyle name="60% - Accent5 2 4" xfId="165" xr:uid="{00000000-0005-0000-0000-0000A4000000}"/>
    <cellStyle name="60% - Accent5 3" xfId="166" xr:uid="{00000000-0005-0000-0000-0000A5000000}"/>
    <cellStyle name="60% - Accent5 3 2" xfId="167" xr:uid="{00000000-0005-0000-0000-0000A6000000}"/>
    <cellStyle name="60% - Accent5 4" xfId="168" xr:uid="{00000000-0005-0000-0000-0000A7000000}"/>
    <cellStyle name="60% - Accent5 4 2" xfId="169" xr:uid="{00000000-0005-0000-0000-0000A8000000}"/>
    <cellStyle name="60% - Accent5 5" xfId="170" xr:uid="{00000000-0005-0000-0000-0000A9000000}"/>
    <cellStyle name="60% - Accent6" xfId="171" builtinId="52" customBuiltin="1"/>
    <cellStyle name="60% - Accent6 2" xfId="172" xr:uid="{00000000-0005-0000-0000-0000AB000000}"/>
    <cellStyle name="60% - Accent6 2 2" xfId="173" xr:uid="{00000000-0005-0000-0000-0000AC000000}"/>
    <cellStyle name="60% - Accent6 2 3" xfId="174" xr:uid="{00000000-0005-0000-0000-0000AD000000}"/>
    <cellStyle name="60% - Accent6 2 4" xfId="175" xr:uid="{00000000-0005-0000-0000-0000AE000000}"/>
    <cellStyle name="60% - Accent6 3" xfId="176" xr:uid="{00000000-0005-0000-0000-0000AF000000}"/>
    <cellStyle name="60% - Accent6 3 2" xfId="177" xr:uid="{00000000-0005-0000-0000-0000B0000000}"/>
    <cellStyle name="60% - Accent6 4" xfId="178" xr:uid="{00000000-0005-0000-0000-0000B1000000}"/>
    <cellStyle name="60% - Accent6 4 2" xfId="179" xr:uid="{00000000-0005-0000-0000-0000B2000000}"/>
    <cellStyle name="60% - Accent6 5" xfId="180" xr:uid="{00000000-0005-0000-0000-0000B3000000}"/>
    <cellStyle name="Accent1" xfId="181" builtinId="29" customBuiltin="1"/>
    <cellStyle name="Accent1 2" xfId="182" xr:uid="{00000000-0005-0000-0000-0000B5000000}"/>
    <cellStyle name="Accent1 2 2" xfId="183" xr:uid="{00000000-0005-0000-0000-0000B6000000}"/>
    <cellStyle name="Accent1 2 3" xfId="184" xr:uid="{00000000-0005-0000-0000-0000B7000000}"/>
    <cellStyle name="Accent1 2 4" xfId="185" xr:uid="{00000000-0005-0000-0000-0000B8000000}"/>
    <cellStyle name="Accent1 3" xfId="186" xr:uid="{00000000-0005-0000-0000-0000B9000000}"/>
    <cellStyle name="Accent1 3 2" xfId="187" xr:uid="{00000000-0005-0000-0000-0000BA000000}"/>
    <cellStyle name="Accent1 4" xfId="188" xr:uid="{00000000-0005-0000-0000-0000BB000000}"/>
    <cellStyle name="Accent1 4 2" xfId="189" xr:uid="{00000000-0005-0000-0000-0000BC000000}"/>
    <cellStyle name="Accent1 5" xfId="190" xr:uid="{00000000-0005-0000-0000-0000BD000000}"/>
    <cellStyle name="Accent2" xfId="191" builtinId="33" customBuiltin="1"/>
    <cellStyle name="Accent2 2" xfId="192" xr:uid="{00000000-0005-0000-0000-0000BF000000}"/>
    <cellStyle name="Accent2 2 2" xfId="193" xr:uid="{00000000-0005-0000-0000-0000C0000000}"/>
    <cellStyle name="Accent2 2 3" xfId="194" xr:uid="{00000000-0005-0000-0000-0000C1000000}"/>
    <cellStyle name="Accent2 2 4" xfId="195" xr:uid="{00000000-0005-0000-0000-0000C2000000}"/>
    <cellStyle name="Accent2 3" xfId="196" xr:uid="{00000000-0005-0000-0000-0000C3000000}"/>
    <cellStyle name="Accent2 3 2" xfId="197" xr:uid="{00000000-0005-0000-0000-0000C4000000}"/>
    <cellStyle name="Accent2 4" xfId="198" xr:uid="{00000000-0005-0000-0000-0000C5000000}"/>
    <cellStyle name="Accent2 4 2" xfId="199" xr:uid="{00000000-0005-0000-0000-0000C6000000}"/>
    <cellStyle name="Accent2 5" xfId="200" xr:uid="{00000000-0005-0000-0000-0000C7000000}"/>
    <cellStyle name="Accent3" xfId="201" builtinId="37" customBuiltin="1"/>
    <cellStyle name="Accent3 2" xfId="202" xr:uid="{00000000-0005-0000-0000-0000C9000000}"/>
    <cellStyle name="Accent3 2 2" xfId="203" xr:uid="{00000000-0005-0000-0000-0000CA000000}"/>
    <cellStyle name="Accent3 2 3" xfId="204" xr:uid="{00000000-0005-0000-0000-0000CB000000}"/>
    <cellStyle name="Accent3 2 4" xfId="205" xr:uid="{00000000-0005-0000-0000-0000CC000000}"/>
    <cellStyle name="Accent3 3" xfId="206" xr:uid="{00000000-0005-0000-0000-0000CD000000}"/>
    <cellStyle name="Accent3 3 2" xfId="207" xr:uid="{00000000-0005-0000-0000-0000CE000000}"/>
    <cellStyle name="Accent3 4" xfId="208" xr:uid="{00000000-0005-0000-0000-0000CF000000}"/>
    <cellStyle name="Accent3 4 2" xfId="209" xr:uid="{00000000-0005-0000-0000-0000D0000000}"/>
    <cellStyle name="Accent3 5" xfId="210" xr:uid="{00000000-0005-0000-0000-0000D1000000}"/>
    <cellStyle name="Accent4" xfId="211" builtinId="41" customBuiltin="1"/>
    <cellStyle name="Accent4 2" xfId="212" xr:uid="{00000000-0005-0000-0000-0000D3000000}"/>
    <cellStyle name="Accent4 2 2" xfId="213" xr:uid="{00000000-0005-0000-0000-0000D4000000}"/>
    <cellStyle name="Accent4 2 3" xfId="214" xr:uid="{00000000-0005-0000-0000-0000D5000000}"/>
    <cellStyle name="Accent4 2 4" xfId="215" xr:uid="{00000000-0005-0000-0000-0000D6000000}"/>
    <cellStyle name="Accent4 3" xfId="216" xr:uid="{00000000-0005-0000-0000-0000D7000000}"/>
    <cellStyle name="Accent4 3 2" xfId="217" xr:uid="{00000000-0005-0000-0000-0000D8000000}"/>
    <cellStyle name="Accent4 4" xfId="218" xr:uid="{00000000-0005-0000-0000-0000D9000000}"/>
    <cellStyle name="Accent4 4 2" xfId="219" xr:uid="{00000000-0005-0000-0000-0000DA000000}"/>
    <cellStyle name="Accent4 5" xfId="220" xr:uid="{00000000-0005-0000-0000-0000DB000000}"/>
    <cellStyle name="Accent5" xfId="221" builtinId="45" customBuiltin="1"/>
    <cellStyle name="Accent5 2" xfId="222" xr:uid="{00000000-0005-0000-0000-0000DD000000}"/>
    <cellStyle name="Accent5 2 2" xfId="223" xr:uid="{00000000-0005-0000-0000-0000DE000000}"/>
    <cellStyle name="Accent5 2 3" xfId="224" xr:uid="{00000000-0005-0000-0000-0000DF000000}"/>
    <cellStyle name="Accent5 2 4" xfId="225" xr:uid="{00000000-0005-0000-0000-0000E0000000}"/>
    <cellStyle name="Accent5 3" xfId="226" xr:uid="{00000000-0005-0000-0000-0000E1000000}"/>
    <cellStyle name="Accent5 3 2" xfId="227" xr:uid="{00000000-0005-0000-0000-0000E2000000}"/>
    <cellStyle name="Accent5 4" xfId="228" xr:uid="{00000000-0005-0000-0000-0000E3000000}"/>
    <cellStyle name="Accent5 4 2" xfId="229" xr:uid="{00000000-0005-0000-0000-0000E4000000}"/>
    <cellStyle name="Accent5 5" xfId="230" xr:uid="{00000000-0005-0000-0000-0000E5000000}"/>
    <cellStyle name="Accent6" xfId="231" builtinId="49" customBuiltin="1"/>
    <cellStyle name="Accent6 2" xfId="232" xr:uid="{00000000-0005-0000-0000-0000E7000000}"/>
    <cellStyle name="Accent6 2 2" xfId="233" xr:uid="{00000000-0005-0000-0000-0000E8000000}"/>
    <cellStyle name="Accent6 2 3" xfId="234" xr:uid="{00000000-0005-0000-0000-0000E9000000}"/>
    <cellStyle name="Accent6 2 4" xfId="235" xr:uid="{00000000-0005-0000-0000-0000EA000000}"/>
    <cellStyle name="Accent6 3" xfId="236" xr:uid="{00000000-0005-0000-0000-0000EB000000}"/>
    <cellStyle name="Accent6 3 2" xfId="237" xr:uid="{00000000-0005-0000-0000-0000EC000000}"/>
    <cellStyle name="Accent6 4" xfId="238" xr:uid="{00000000-0005-0000-0000-0000ED000000}"/>
    <cellStyle name="Accent6 4 2" xfId="239" xr:uid="{00000000-0005-0000-0000-0000EE000000}"/>
    <cellStyle name="Accent6 5" xfId="240" xr:uid="{00000000-0005-0000-0000-0000EF000000}"/>
    <cellStyle name="Bad" xfId="241" builtinId="27" customBuiltin="1"/>
    <cellStyle name="Bad 2" xfId="242" xr:uid="{00000000-0005-0000-0000-0000F1000000}"/>
    <cellStyle name="Bad 2 2" xfId="243" xr:uid="{00000000-0005-0000-0000-0000F2000000}"/>
    <cellStyle name="Bad 2 3" xfId="244" xr:uid="{00000000-0005-0000-0000-0000F3000000}"/>
    <cellStyle name="Bad 2 4" xfId="245" xr:uid="{00000000-0005-0000-0000-0000F4000000}"/>
    <cellStyle name="Bad 3" xfId="246" xr:uid="{00000000-0005-0000-0000-0000F5000000}"/>
    <cellStyle name="Bad 3 2" xfId="247" xr:uid="{00000000-0005-0000-0000-0000F6000000}"/>
    <cellStyle name="Bad 4" xfId="248" xr:uid="{00000000-0005-0000-0000-0000F7000000}"/>
    <cellStyle name="Bad 4 2" xfId="249" xr:uid="{00000000-0005-0000-0000-0000F8000000}"/>
    <cellStyle name="Bad 5" xfId="250" xr:uid="{00000000-0005-0000-0000-0000F9000000}"/>
    <cellStyle name="Calculation" xfId="251" builtinId="22" customBuiltin="1"/>
    <cellStyle name="Calculation 2" xfId="252" xr:uid="{00000000-0005-0000-0000-0000FB000000}"/>
    <cellStyle name="Calculation 2 2" xfId="253" xr:uid="{00000000-0005-0000-0000-0000FC000000}"/>
    <cellStyle name="Calculation 2 3" xfId="254" xr:uid="{00000000-0005-0000-0000-0000FD000000}"/>
    <cellStyle name="Calculation 2 4" xfId="255" xr:uid="{00000000-0005-0000-0000-0000FE000000}"/>
    <cellStyle name="Calculation 3" xfId="256" xr:uid="{00000000-0005-0000-0000-0000FF000000}"/>
    <cellStyle name="Calculation 3 2" xfId="257" xr:uid="{00000000-0005-0000-0000-000000010000}"/>
    <cellStyle name="Calculation 4" xfId="258" xr:uid="{00000000-0005-0000-0000-000001010000}"/>
    <cellStyle name="Calculation 4 2" xfId="259" xr:uid="{00000000-0005-0000-0000-000002010000}"/>
    <cellStyle name="Calculation 5" xfId="260" xr:uid="{00000000-0005-0000-0000-000003010000}"/>
    <cellStyle name="Check Cell" xfId="280" builtinId="23" customBuiltin="1"/>
    <cellStyle name="Check Cell 2" xfId="281" xr:uid="{00000000-0005-0000-0000-000005010000}"/>
    <cellStyle name="Check Cell 2 2" xfId="282" xr:uid="{00000000-0005-0000-0000-000006010000}"/>
    <cellStyle name="Check Cell 2 3" xfId="283" xr:uid="{00000000-0005-0000-0000-000007010000}"/>
    <cellStyle name="Check Cell 2 4" xfId="284" xr:uid="{00000000-0005-0000-0000-000008010000}"/>
    <cellStyle name="Check Cell 3" xfId="285" xr:uid="{00000000-0005-0000-0000-000009010000}"/>
    <cellStyle name="Check Cell 3 2" xfId="286" xr:uid="{00000000-0005-0000-0000-00000A010000}"/>
    <cellStyle name="Check Cell 4" xfId="287" xr:uid="{00000000-0005-0000-0000-00000B010000}"/>
    <cellStyle name="Check Cell 4 2" xfId="288" xr:uid="{00000000-0005-0000-0000-00000C010000}"/>
    <cellStyle name="Check Cell 5" xfId="289" xr:uid="{00000000-0005-0000-0000-00000D010000}"/>
    <cellStyle name="Comma" xfId="261" builtinId="3"/>
    <cellStyle name="Comma 2" xfId="262" xr:uid="{00000000-0005-0000-0000-00000F010000}"/>
    <cellStyle name="Comma 2 10" xfId="263" xr:uid="{00000000-0005-0000-0000-000010010000}"/>
    <cellStyle name="Comma 2 2" xfId="264" xr:uid="{00000000-0005-0000-0000-000011010000}"/>
    <cellStyle name="Comma 2 3" xfId="265" xr:uid="{00000000-0005-0000-0000-000012010000}"/>
    <cellStyle name="Comma 2 4" xfId="266" xr:uid="{00000000-0005-0000-0000-000013010000}"/>
    <cellStyle name="Comma 2 5" xfId="267" xr:uid="{00000000-0005-0000-0000-000014010000}"/>
    <cellStyle name="Comma 2 6" xfId="268" xr:uid="{00000000-0005-0000-0000-000015010000}"/>
    <cellStyle name="Comma 2 7" xfId="269" xr:uid="{00000000-0005-0000-0000-000016010000}"/>
    <cellStyle name="Comma 2 8" xfId="270" xr:uid="{00000000-0005-0000-0000-000017010000}"/>
    <cellStyle name="Comma 3" xfId="271" xr:uid="{00000000-0005-0000-0000-000018010000}"/>
    <cellStyle name="Comma 3 2" xfId="272" xr:uid="{00000000-0005-0000-0000-000019010000}"/>
    <cellStyle name="Comma 3 3" xfId="273" xr:uid="{00000000-0005-0000-0000-00001A010000}"/>
    <cellStyle name="Comma 3 4" xfId="274" xr:uid="{00000000-0005-0000-0000-00001B010000}"/>
    <cellStyle name="Comma 5" xfId="275" xr:uid="{00000000-0005-0000-0000-00001C010000}"/>
    <cellStyle name="Comma 5 2" xfId="276" xr:uid="{00000000-0005-0000-0000-00001D010000}"/>
    <cellStyle name="Comma 7" xfId="277" xr:uid="{00000000-0005-0000-0000-00001E010000}"/>
    <cellStyle name="Comma0" xfId="278" xr:uid="{00000000-0005-0000-0000-00001F010000}"/>
    <cellStyle name="Currency0" xfId="279" xr:uid="{00000000-0005-0000-0000-000020010000}"/>
    <cellStyle name="Date" xfId="290" xr:uid="{00000000-0005-0000-0000-000021010000}"/>
    <cellStyle name="Explanatory Text" xfId="291" builtinId="53" customBuiltin="1"/>
    <cellStyle name="Explanatory Text 2" xfId="292" xr:uid="{00000000-0005-0000-0000-000023010000}"/>
    <cellStyle name="Explanatory Text 2 2" xfId="293" xr:uid="{00000000-0005-0000-0000-000024010000}"/>
    <cellStyle name="Explanatory Text 2 3" xfId="294" xr:uid="{00000000-0005-0000-0000-000025010000}"/>
    <cellStyle name="Explanatory Text 2 4" xfId="295" xr:uid="{00000000-0005-0000-0000-000026010000}"/>
    <cellStyle name="Explanatory Text 3" xfId="296" xr:uid="{00000000-0005-0000-0000-000027010000}"/>
    <cellStyle name="Explanatory Text 3 2" xfId="297" xr:uid="{00000000-0005-0000-0000-000028010000}"/>
    <cellStyle name="Explanatory Text 4" xfId="298" xr:uid="{00000000-0005-0000-0000-000029010000}"/>
    <cellStyle name="Explanatory Text 4 2" xfId="299" xr:uid="{00000000-0005-0000-0000-00002A010000}"/>
    <cellStyle name="Explanatory Text 5" xfId="300" xr:uid="{00000000-0005-0000-0000-00002B010000}"/>
    <cellStyle name="Fixed" xfId="301" xr:uid="{00000000-0005-0000-0000-00002C010000}"/>
    <cellStyle name="Good" xfId="302" builtinId="26" customBuiltin="1"/>
    <cellStyle name="Good 2" xfId="303" xr:uid="{00000000-0005-0000-0000-00002E010000}"/>
    <cellStyle name="Good 2 2" xfId="304" xr:uid="{00000000-0005-0000-0000-00002F010000}"/>
    <cellStyle name="Good 2 3" xfId="305" xr:uid="{00000000-0005-0000-0000-000030010000}"/>
    <cellStyle name="Good 2 4" xfId="306" xr:uid="{00000000-0005-0000-0000-000031010000}"/>
    <cellStyle name="Good 3" xfId="307" xr:uid="{00000000-0005-0000-0000-000032010000}"/>
    <cellStyle name="Good 3 2" xfId="308" xr:uid="{00000000-0005-0000-0000-000033010000}"/>
    <cellStyle name="Good 4" xfId="309" xr:uid="{00000000-0005-0000-0000-000034010000}"/>
    <cellStyle name="Good 4 2" xfId="310" xr:uid="{00000000-0005-0000-0000-000035010000}"/>
    <cellStyle name="Good 5" xfId="311" xr:uid="{00000000-0005-0000-0000-000036010000}"/>
    <cellStyle name="Header1" xfId="312" xr:uid="{00000000-0005-0000-0000-000037010000}"/>
    <cellStyle name="Header2" xfId="313" xr:uid="{00000000-0005-0000-0000-000038010000}"/>
    <cellStyle name="Heading 1" xfId="314" builtinId="16" customBuiltin="1"/>
    <cellStyle name="Heading 1 2" xfId="315" xr:uid="{00000000-0005-0000-0000-00003A010000}"/>
    <cellStyle name="Heading 1 2 2" xfId="316" xr:uid="{00000000-0005-0000-0000-00003B010000}"/>
    <cellStyle name="Heading 1 2 3" xfId="317" xr:uid="{00000000-0005-0000-0000-00003C010000}"/>
    <cellStyle name="Heading 1 2 4" xfId="318" xr:uid="{00000000-0005-0000-0000-00003D010000}"/>
    <cellStyle name="Heading 1 3" xfId="319" xr:uid="{00000000-0005-0000-0000-00003E010000}"/>
    <cellStyle name="Heading 1 3 2" xfId="320" xr:uid="{00000000-0005-0000-0000-00003F010000}"/>
    <cellStyle name="Heading 1 4" xfId="321" xr:uid="{00000000-0005-0000-0000-000040010000}"/>
    <cellStyle name="Heading 1 4 2" xfId="322" xr:uid="{00000000-0005-0000-0000-000041010000}"/>
    <cellStyle name="Heading 1 5" xfId="323" xr:uid="{00000000-0005-0000-0000-000042010000}"/>
    <cellStyle name="Heading 2" xfId="324" builtinId="17" customBuiltin="1"/>
    <cellStyle name="Heading 2 2" xfId="325" xr:uid="{00000000-0005-0000-0000-000044010000}"/>
    <cellStyle name="Heading 2 2 2" xfId="326" xr:uid="{00000000-0005-0000-0000-000045010000}"/>
    <cellStyle name="Heading 2 2 3" xfId="327" xr:uid="{00000000-0005-0000-0000-000046010000}"/>
    <cellStyle name="Heading 2 2 4" xfId="328" xr:uid="{00000000-0005-0000-0000-000047010000}"/>
    <cellStyle name="Heading 2 3" xfId="329" xr:uid="{00000000-0005-0000-0000-000048010000}"/>
    <cellStyle name="Heading 2 3 2" xfId="330" xr:uid="{00000000-0005-0000-0000-000049010000}"/>
    <cellStyle name="Heading 2 4" xfId="331" xr:uid="{00000000-0005-0000-0000-00004A010000}"/>
    <cellStyle name="Heading 2 4 2" xfId="332" xr:uid="{00000000-0005-0000-0000-00004B010000}"/>
    <cellStyle name="Heading 2 5" xfId="333" xr:uid="{00000000-0005-0000-0000-00004C010000}"/>
    <cellStyle name="Heading 3" xfId="334" builtinId="18" customBuiltin="1"/>
    <cellStyle name="Heading 3 2" xfId="335" xr:uid="{00000000-0005-0000-0000-00004E010000}"/>
    <cellStyle name="Heading 3 2 2" xfId="336" xr:uid="{00000000-0005-0000-0000-00004F010000}"/>
    <cellStyle name="Heading 3 2 3" xfId="337" xr:uid="{00000000-0005-0000-0000-000050010000}"/>
    <cellStyle name="Heading 3 2 4" xfId="338" xr:uid="{00000000-0005-0000-0000-000051010000}"/>
    <cellStyle name="Heading 3 3" xfId="339" xr:uid="{00000000-0005-0000-0000-000052010000}"/>
    <cellStyle name="Heading 3 3 2" xfId="340" xr:uid="{00000000-0005-0000-0000-000053010000}"/>
    <cellStyle name="Heading 3 4" xfId="341" xr:uid="{00000000-0005-0000-0000-000054010000}"/>
    <cellStyle name="Heading 3 4 2" xfId="342" xr:uid="{00000000-0005-0000-0000-000055010000}"/>
    <cellStyle name="Heading 3 5" xfId="343" xr:uid="{00000000-0005-0000-0000-000056010000}"/>
    <cellStyle name="Heading 4" xfId="344" builtinId="19" customBuiltin="1"/>
    <cellStyle name="Heading 4 2" xfId="345" xr:uid="{00000000-0005-0000-0000-000058010000}"/>
    <cellStyle name="Heading 4 2 2" xfId="346" xr:uid="{00000000-0005-0000-0000-000059010000}"/>
    <cellStyle name="Heading 4 2 3" xfId="347" xr:uid="{00000000-0005-0000-0000-00005A010000}"/>
    <cellStyle name="Heading 4 2 4" xfId="348" xr:uid="{00000000-0005-0000-0000-00005B010000}"/>
    <cellStyle name="Heading 4 3" xfId="349" xr:uid="{00000000-0005-0000-0000-00005C010000}"/>
    <cellStyle name="Heading 4 3 2" xfId="350" xr:uid="{00000000-0005-0000-0000-00005D010000}"/>
    <cellStyle name="Heading 4 4" xfId="351" xr:uid="{00000000-0005-0000-0000-00005E010000}"/>
    <cellStyle name="Heading 4 4 2" xfId="352" xr:uid="{00000000-0005-0000-0000-00005F010000}"/>
    <cellStyle name="Heading 4 5" xfId="353" xr:uid="{00000000-0005-0000-0000-000060010000}"/>
    <cellStyle name="Input" xfId="354" builtinId="20" customBuiltin="1"/>
    <cellStyle name="Input 2" xfId="355" xr:uid="{00000000-0005-0000-0000-000062010000}"/>
    <cellStyle name="Input 2 2" xfId="356" xr:uid="{00000000-0005-0000-0000-000063010000}"/>
    <cellStyle name="Input 2 3" xfId="357" xr:uid="{00000000-0005-0000-0000-000064010000}"/>
    <cellStyle name="Input 2 4" xfId="358" xr:uid="{00000000-0005-0000-0000-000065010000}"/>
    <cellStyle name="Input 3" xfId="359" xr:uid="{00000000-0005-0000-0000-000066010000}"/>
    <cellStyle name="Input 3 2" xfId="360" xr:uid="{00000000-0005-0000-0000-000067010000}"/>
    <cellStyle name="Input 4" xfId="361" xr:uid="{00000000-0005-0000-0000-000068010000}"/>
    <cellStyle name="Input 4 2" xfId="362" xr:uid="{00000000-0005-0000-0000-000069010000}"/>
    <cellStyle name="Input 5" xfId="363" xr:uid="{00000000-0005-0000-0000-00006A010000}"/>
    <cellStyle name="Linked Cell" xfId="364" builtinId="24" customBuiltin="1"/>
    <cellStyle name="Linked Cell 2" xfId="365" xr:uid="{00000000-0005-0000-0000-00006C010000}"/>
    <cellStyle name="Linked Cell 2 2" xfId="366" xr:uid="{00000000-0005-0000-0000-00006D010000}"/>
    <cellStyle name="Linked Cell 2 3" xfId="367" xr:uid="{00000000-0005-0000-0000-00006E010000}"/>
    <cellStyle name="Linked Cell 2 4" xfId="368" xr:uid="{00000000-0005-0000-0000-00006F010000}"/>
    <cellStyle name="Linked Cell 3" xfId="369" xr:uid="{00000000-0005-0000-0000-000070010000}"/>
    <cellStyle name="Linked Cell 3 2" xfId="370" xr:uid="{00000000-0005-0000-0000-000071010000}"/>
    <cellStyle name="Linked Cell 4" xfId="371" xr:uid="{00000000-0005-0000-0000-000072010000}"/>
    <cellStyle name="Linked Cell 4 2" xfId="372" xr:uid="{00000000-0005-0000-0000-000073010000}"/>
    <cellStyle name="Linked Cell 5" xfId="373" xr:uid="{00000000-0005-0000-0000-000074010000}"/>
    <cellStyle name="Neutral" xfId="374" builtinId="28" customBuiltin="1"/>
    <cellStyle name="Neutral 2" xfId="375" xr:uid="{00000000-0005-0000-0000-000076010000}"/>
    <cellStyle name="Neutral 2 2" xfId="376" xr:uid="{00000000-0005-0000-0000-000077010000}"/>
    <cellStyle name="Neutral 2 3" xfId="377" xr:uid="{00000000-0005-0000-0000-000078010000}"/>
    <cellStyle name="Neutral 2 4" xfId="378" xr:uid="{00000000-0005-0000-0000-000079010000}"/>
    <cellStyle name="Neutral 3" xfId="379" xr:uid="{00000000-0005-0000-0000-00007A010000}"/>
    <cellStyle name="Neutral 3 2" xfId="380" xr:uid="{00000000-0005-0000-0000-00007B010000}"/>
    <cellStyle name="Neutral 4" xfId="381" xr:uid="{00000000-0005-0000-0000-00007C010000}"/>
    <cellStyle name="Neutral 4 2" xfId="382" xr:uid="{00000000-0005-0000-0000-00007D010000}"/>
    <cellStyle name="Neutral 5" xfId="383" xr:uid="{00000000-0005-0000-0000-00007E010000}"/>
    <cellStyle name="Normal" xfId="0" builtinId="0"/>
    <cellStyle name="Normal 2" xfId="384" xr:uid="{00000000-0005-0000-0000-000080010000}"/>
    <cellStyle name="Normal 2 2" xfId="385" xr:uid="{00000000-0005-0000-0000-000081010000}"/>
    <cellStyle name="Normal 2 2 2" xfId="386" xr:uid="{00000000-0005-0000-0000-000082010000}"/>
    <cellStyle name="Normal 2 2 3" xfId="387" xr:uid="{00000000-0005-0000-0000-000083010000}"/>
    <cellStyle name="Normal 2 2 4" xfId="388" xr:uid="{00000000-0005-0000-0000-000084010000}"/>
    <cellStyle name="Normal 2 3" xfId="389" xr:uid="{00000000-0005-0000-0000-000085010000}"/>
    <cellStyle name="Normal 2 4" xfId="390" xr:uid="{00000000-0005-0000-0000-000086010000}"/>
    <cellStyle name="Normal 2 4 2" xfId="391" xr:uid="{00000000-0005-0000-0000-000087010000}"/>
    <cellStyle name="Normal 2 4 2 2" xfId="392" xr:uid="{00000000-0005-0000-0000-000088010000}"/>
    <cellStyle name="Normal 2 4 2 2 2" xfId="393" xr:uid="{00000000-0005-0000-0000-000089010000}"/>
    <cellStyle name="Normal 2 4 3" xfId="394" xr:uid="{00000000-0005-0000-0000-00008A010000}"/>
    <cellStyle name="Normal 2 5" xfId="395" xr:uid="{00000000-0005-0000-0000-00008B010000}"/>
    <cellStyle name="Normal 2 6" xfId="396" xr:uid="{00000000-0005-0000-0000-00008C010000}"/>
    <cellStyle name="Normal 2 7" xfId="397" xr:uid="{00000000-0005-0000-0000-00008D010000}"/>
    <cellStyle name="Normal 2 7 2" xfId="398" xr:uid="{00000000-0005-0000-0000-00008E010000}"/>
    <cellStyle name="Normal 2 8" xfId="399" xr:uid="{00000000-0005-0000-0000-00008F010000}"/>
    <cellStyle name="Normal 3" xfId="475" xr:uid="{00000000-0005-0000-0000-000090010000}"/>
    <cellStyle name="Normal 3 2" xfId="400" xr:uid="{00000000-0005-0000-0000-000091010000}"/>
    <cellStyle name="Normal 3 3" xfId="401" xr:uid="{00000000-0005-0000-0000-000092010000}"/>
    <cellStyle name="Normal 3 4" xfId="402" xr:uid="{00000000-0005-0000-0000-000093010000}"/>
    <cellStyle name="Normal 5" xfId="403" xr:uid="{00000000-0005-0000-0000-000094010000}"/>
    <cellStyle name="Normal 5 2" xfId="404" xr:uid="{00000000-0005-0000-0000-000095010000}"/>
    <cellStyle name="Normal 6" xfId="405" xr:uid="{00000000-0005-0000-0000-000096010000}"/>
    <cellStyle name="Normal 6 2" xfId="406" xr:uid="{00000000-0005-0000-0000-000097010000}"/>
    <cellStyle name="Normal 7 2" xfId="407" xr:uid="{00000000-0005-0000-0000-000098010000}"/>
    <cellStyle name="Normal 8" xfId="408" xr:uid="{00000000-0005-0000-0000-000099010000}"/>
    <cellStyle name="Normal_A" xfId="409" xr:uid="{00000000-0005-0000-0000-00009A010000}"/>
    <cellStyle name="Normal_DG Tinh lai theo DM 4_10_08  (co du phan TB)" xfId="410" xr:uid="{00000000-0005-0000-0000-00009B010000}"/>
    <cellStyle name="Normal_Sheet1" xfId="411" xr:uid="{00000000-0005-0000-0000-00009C010000}"/>
    <cellStyle name="Note" xfId="412" builtinId="10" customBuiltin="1"/>
    <cellStyle name="Note 2" xfId="413" xr:uid="{00000000-0005-0000-0000-00009E010000}"/>
    <cellStyle name="Note 2 2" xfId="414" xr:uid="{00000000-0005-0000-0000-00009F010000}"/>
    <cellStyle name="Note 2 3" xfId="415" xr:uid="{00000000-0005-0000-0000-0000A0010000}"/>
    <cellStyle name="Note 2 4" xfId="416" xr:uid="{00000000-0005-0000-0000-0000A1010000}"/>
    <cellStyle name="Note 3" xfId="417" xr:uid="{00000000-0005-0000-0000-0000A2010000}"/>
    <cellStyle name="Note 3 2" xfId="418" xr:uid="{00000000-0005-0000-0000-0000A3010000}"/>
    <cellStyle name="Note 4" xfId="419" xr:uid="{00000000-0005-0000-0000-0000A4010000}"/>
    <cellStyle name="Note 4 2" xfId="420" xr:uid="{00000000-0005-0000-0000-0000A5010000}"/>
    <cellStyle name="Note 5" xfId="421" xr:uid="{00000000-0005-0000-0000-0000A6010000}"/>
    <cellStyle name="Output" xfId="422" builtinId="21" customBuiltin="1"/>
    <cellStyle name="Output 2" xfId="423" xr:uid="{00000000-0005-0000-0000-0000A8010000}"/>
    <cellStyle name="Output 2 2" xfId="424" xr:uid="{00000000-0005-0000-0000-0000A9010000}"/>
    <cellStyle name="Output 2 3" xfId="425" xr:uid="{00000000-0005-0000-0000-0000AA010000}"/>
    <cellStyle name="Output 2 4" xfId="426" xr:uid="{00000000-0005-0000-0000-0000AB010000}"/>
    <cellStyle name="Output 3" xfId="427" xr:uid="{00000000-0005-0000-0000-0000AC010000}"/>
    <cellStyle name="Output 3 2" xfId="428" xr:uid="{00000000-0005-0000-0000-0000AD010000}"/>
    <cellStyle name="Output 4" xfId="429" xr:uid="{00000000-0005-0000-0000-0000AE010000}"/>
    <cellStyle name="Output 4 2" xfId="430" xr:uid="{00000000-0005-0000-0000-0000AF010000}"/>
    <cellStyle name="Output 5" xfId="431" xr:uid="{00000000-0005-0000-0000-0000B0010000}"/>
    <cellStyle name="Percent" xfId="432" builtinId="5"/>
    <cellStyle name="sodangoai" xfId="433" xr:uid="{00000000-0005-0000-0000-0000B2010000}"/>
    <cellStyle name="Title" xfId="434" builtinId="15" customBuiltin="1"/>
    <cellStyle name="Title 2" xfId="435" xr:uid="{00000000-0005-0000-0000-0000B4010000}"/>
    <cellStyle name="Title 2 2" xfId="436" xr:uid="{00000000-0005-0000-0000-0000B5010000}"/>
    <cellStyle name="Title 2 3" xfId="437" xr:uid="{00000000-0005-0000-0000-0000B6010000}"/>
    <cellStyle name="Title 2 4" xfId="438" xr:uid="{00000000-0005-0000-0000-0000B7010000}"/>
    <cellStyle name="Title 3" xfId="439" xr:uid="{00000000-0005-0000-0000-0000B8010000}"/>
    <cellStyle name="Title 3 2" xfId="440" xr:uid="{00000000-0005-0000-0000-0000B9010000}"/>
    <cellStyle name="Title 4" xfId="441" xr:uid="{00000000-0005-0000-0000-0000BA010000}"/>
    <cellStyle name="Title 4 2" xfId="442" xr:uid="{00000000-0005-0000-0000-0000BB010000}"/>
    <cellStyle name="Title 5" xfId="443" xr:uid="{00000000-0005-0000-0000-0000BC010000}"/>
    <cellStyle name="Total" xfId="444" builtinId="25" customBuiltin="1"/>
    <cellStyle name="Total 2" xfId="445" xr:uid="{00000000-0005-0000-0000-0000BE010000}"/>
    <cellStyle name="Total 2 2" xfId="446" xr:uid="{00000000-0005-0000-0000-0000BF010000}"/>
    <cellStyle name="Total 2 3" xfId="447" xr:uid="{00000000-0005-0000-0000-0000C0010000}"/>
    <cellStyle name="Total 2 4" xfId="448" xr:uid="{00000000-0005-0000-0000-0000C1010000}"/>
    <cellStyle name="Total 3" xfId="449" xr:uid="{00000000-0005-0000-0000-0000C2010000}"/>
    <cellStyle name="Total 3 2" xfId="450" xr:uid="{00000000-0005-0000-0000-0000C3010000}"/>
    <cellStyle name="Total 4" xfId="451" xr:uid="{00000000-0005-0000-0000-0000C4010000}"/>
    <cellStyle name="Total 4 2" xfId="452" xr:uid="{00000000-0005-0000-0000-0000C5010000}"/>
    <cellStyle name="Total 5" xfId="453" xr:uid="{00000000-0005-0000-0000-0000C6010000}"/>
    <cellStyle name="Warning Text" xfId="454" builtinId="11" customBuiltin="1"/>
    <cellStyle name="Warning Text 2" xfId="455" xr:uid="{00000000-0005-0000-0000-0000C8010000}"/>
    <cellStyle name="Warning Text 2 2" xfId="456" xr:uid="{00000000-0005-0000-0000-0000C9010000}"/>
    <cellStyle name="Warning Text 2 3" xfId="457" xr:uid="{00000000-0005-0000-0000-0000CA010000}"/>
    <cellStyle name="Warning Text 2 4" xfId="458" xr:uid="{00000000-0005-0000-0000-0000CB010000}"/>
    <cellStyle name="Warning Text 3" xfId="459" xr:uid="{00000000-0005-0000-0000-0000CC010000}"/>
    <cellStyle name="Warning Text 3 2" xfId="460" xr:uid="{00000000-0005-0000-0000-0000CD010000}"/>
    <cellStyle name="Warning Text 4" xfId="461" xr:uid="{00000000-0005-0000-0000-0000CE010000}"/>
    <cellStyle name="Warning Text 4 2" xfId="462" xr:uid="{00000000-0005-0000-0000-0000CF010000}"/>
    <cellStyle name="Warning Text 5" xfId="463" xr:uid="{00000000-0005-0000-0000-0000D0010000}"/>
    <cellStyle name="똿뗦먛귟 [0.00]_PRODUCT DETAIL Q1" xfId="464" xr:uid="{00000000-0005-0000-0000-0000D1010000}"/>
    <cellStyle name="똿뗦먛귟_PRODUCT DETAIL Q1" xfId="465" xr:uid="{00000000-0005-0000-0000-0000D2010000}"/>
    <cellStyle name="믅됞 [0.00]_PRODUCT DETAIL Q1" xfId="466" xr:uid="{00000000-0005-0000-0000-0000D3010000}"/>
    <cellStyle name="믅됞_PRODUCT DETAIL Q1" xfId="467" xr:uid="{00000000-0005-0000-0000-0000D4010000}"/>
    <cellStyle name="백분율_HOBONG" xfId="468" xr:uid="{00000000-0005-0000-0000-0000D5010000}"/>
    <cellStyle name="뷭?_BOOKSHIP" xfId="469" xr:uid="{00000000-0005-0000-0000-0000D6010000}"/>
    <cellStyle name="콤마 [0]_1202" xfId="470" xr:uid="{00000000-0005-0000-0000-0000D7010000}"/>
    <cellStyle name="콤마_1202" xfId="471" xr:uid="{00000000-0005-0000-0000-0000D8010000}"/>
    <cellStyle name="통화 [0]_1202" xfId="472" xr:uid="{00000000-0005-0000-0000-0000D9010000}"/>
    <cellStyle name="통화_1202" xfId="473" xr:uid="{00000000-0005-0000-0000-0000DA010000}"/>
    <cellStyle name="표준_(정보부문)월별인원계획" xfId="474" xr:uid="{00000000-0005-0000-0000-0000DB01000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Du%20an%202025/Dinh%20m&#7913;c%20c&#225;c%20&#273;&#7883;a%20ph&#432;&#417;ng/Ti&#7873;n%20Giang/&#272;&#417;n%20gi&#225;%20v&#7853;t%20li&#7879;u_Minh%20g&#7917;i/Don%20gia%20Quy%20Hoach.xlsx" TargetMode="External"/><Relationship Id="rId1" Type="http://schemas.openxmlformats.org/officeDocument/2006/relationships/externalLinkPath" Target="/Du%20an%202025/Dinh%20m&#7913;c%20c&#225;c%20&#273;&#7883;a%20ph&#432;&#417;ng/Ti&#7873;n%20Giang/&#272;&#417;n%20gi&#225;%20v&#7853;t%20li&#7879;u_Minh%20g&#7917;i/Don%20gia%20Quy%20Hoach.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u%20an%202025\Dinh%20m&#7913;c%20c&#225;c%20&#273;&#7883;a%20ph&#432;&#417;ng\Ti&#7873;n%20Giang\&#272;&#417;n%20gi&#225;%20v&#7853;t%20li&#7879;u_Minh%20g&#7917;i\Don%20gia%20Quy%20Hoach.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admin/Dropbox/07_KY%20THUAT/HAI%20PHONG/Du%20an%20Tong%20the%20Hai%20Phong%202017/DINH%20MUC%202017/DM14-2017_Don-gia-tinh-thu-1.xls" TargetMode="External"/><Relationship Id="rId1" Type="http://schemas.openxmlformats.org/officeDocument/2006/relationships/externalLinkPath" Target="/Users/admin/Dropbox/07_KY%20THUAT/HAI%20PHONG/Du%20an%20Tong%20the%20Hai%20Phong%202017/DINH%20MUC%202017/DM14-2017_Don-gia-tinh-thu-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ongia_DungCu"/>
      <sheetName val="Dongia_VatLieu"/>
      <sheetName val="Dongia_Diennang"/>
      <sheetName val="Dongia_Nhienlieu"/>
      <sheetName val="DM_ThietBi_QH"/>
      <sheetName val="DONGIA_T6.2025 (PL5)"/>
    </sheetNames>
    <sheetDataSet>
      <sheetData sheetId="0" refreshError="1"/>
      <sheetData sheetId="1" refreshError="1"/>
      <sheetData sheetId="2" refreshError="1"/>
      <sheetData sheetId="3" refreshError="1"/>
      <sheetData sheetId="4" refreshError="1"/>
      <sheetData sheetId="5" refreshError="1">
        <row r="5">
          <cell r="B5" t="str">
            <v>Bàn làm việc</v>
          </cell>
          <cell r="C5" t="str">
            <v>Cái</v>
          </cell>
          <cell r="D5">
            <v>1</v>
          </cell>
          <cell r="E5">
            <v>1654695</v>
          </cell>
          <cell r="F5">
            <v>132375.6</v>
          </cell>
          <cell r="G5">
            <v>1787070.6</v>
          </cell>
          <cell r="H5" t="str">
            <v>Bàn chân sắt HU120</v>
          </cell>
        </row>
        <row r="6">
          <cell r="B6" t="str">
            <v>Bàn để máy tính</v>
          </cell>
          <cell r="C6" t="str">
            <v>Cái</v>
          </cell>
          <cell r="E6">
            <v>2240000</v>
          </cell>
          <cell r="F6">
            <v>179200</v>
          </cell>
          <cell r="G6">
            <v>2419200</v>
          </cell>
          <cell r="H6" t="str">
            <v>Bàn máy tính Hòa Phát NTM120</v>
          </cell>
        </row>
        <row r="7">
          <cell r="B7" t="str">
            <v>Ghế văn phòng (ghế máy tính)</v>
          </cell>
          <cell r="C7" t="str">
            <v>Cái</v>
          </cell>
          <cell r="D7">
            <v>1</v>
          </cell>
          <cell r="E7">
            <v>604950</v>
          </cell>
          <cell r="F7">
            <v>48396</v>
          </cell>
          <cell r="G7">
            <v>653346</v>
          </cell>
          <cell r="H7" t="str">
            <v>Ghế nhân viên SG550</v>
          </cell>
        </row>
        <row r="8">
          <cell r="B8" t="str">
            <v>Ghế văn phòng</v>
          </cell>
          <cell r="C8" t="str">
            <v>Cái</v>
          </cell>
          <cell r="D8">
            <v>1</v>
          </cell>
          <cell r="E8">
            <v>498000</v>
          </cell>
          <cell r="F8">
            <v>39840</v>
          </cell>
          <cell r="G8">
            <v>537840</v>
          </cell>
          <cell r="H8" t="str">
            <v>GHẾ HỌP GL432</v>
          </cell>
        </row>
        <row r="9">
          <cell r="B9" t="str">
            <v>Chuột máy tính</v>
          </cell>
          <cell r="C9" t="str">
            <v>Cái</v>
          </cell>
          <cell r="D9">
            <v>1</v>
          </cell>
          <cell r="E9">
            <v>184000</v>
          </cell>
          <cell r="F9">
            <v>14720</v>
          </cell>
          <cell r="G9">
            <v>198720</v>
          </cell>
          <cell r="H9" t="str">
            <v>Chuột máy tính Không Dây DELL WM118</v>
          </cell>
        </row>
        <row r="10">
          <cell r="B10" t="str">
            <v>Máy tính casio</v>
          </cell>
          <cell r="C10" t="str">
            <v>Cái</v>
          </cell>
          <cell r="D10">
            <v>1</v>
          </cell>
          <cell r="E10">
            <v>202400</v>
          </cell>
          <cell r="F10">
            <v>16192</v>
          </cell>
          <cell r="G10">
            <v>218592</v>
          </cell>
          <cell r="H10" t="str">
            <v>Máy tính Casio FX580VN</v>
          </cell>
        </row>
        <row r="11">
          <cell r="B11" t="str">
            <v>Ổn áp dùng chung 10KVA</v>
          </cell>
          <cell r="C11" t="str">
            <v>Cái</v>
          </cell>
          <cell r="D11">
            <v>1</v>
          </cell>
          <cell r="E11">
            <v>3220000</v>
          </cell>
          <cell r="F11">
            <v>257600</v>
          </cell>
          <cell r="G11">
            <v>3477600</v>
          </cell>
          <cell r="H11" t="str">
            <v>Ổn áp lioa 10KVA
Model: SH 10000 dải 150v-250v 
thế hệ 1</v>
          </cell>
        </row>
        <row r="12">
          <cell r="B12" t="str">
            <v>Lưu điện cho máy tính</v>
          </cell>
          <cell r="C12" t="str">
            <v>Cái</v>
          </cell>
          <cell r="D12">
            <v>1</v>
          </cell>
          <cell r="E12">
            <v>1380000</v>
          </cell>
          <cell r="F12">
            <v>110400</v>
          </cell>
          <cell r="G12">
            <v>1490400</v>
          </cell>
          <cell r="H12" t="str">
            <v>Bộ lưu điện Line Interactive Eaton 5E650iUSB</v>
          </cell>
        </row>
        <row r="13">
          <cell r="B13" t="str">
            <v>Máy hút ẩm 2 Kw</v>
          </cell>
          <cell r="C13" t="str">
            <v>Cái</v>
          </cell>
          <cell r="D13">
            <v>1</v>
          </cell>
          <cell r="E13">
            <v>4670000</v>
          </cell>
          <cell r="F13">
            <v>373600</v>
          </cell>
          <cell r="G13">
            <v>5043600</v>
          </cell>
          <cell r="H13" t="str">
            <v>Máy hút ẩm Fujie HM 914 ec Pro</v>
          </cell>
        </row>
        <row r="14">
          <cell r="B14" t="str">
            <v>Quạt thông gió 0,04 Kw</v>
          </cell>
          <cell r="C14" t="str">
            <v>Cái</v>
          </cell>
          <cell r="D14">
            <v>1</v>
          </cell>
          <cell r="E14">
            <v>2392000</v>
          </cell>
          <cell r="F14">
            <v>191360</v>
          </cell>
          <cell r="G14">
            <v>2583360</v>
          </cell>
          <cell r="H14" t="str">
            <v>Quạt thông gió Dasin KVF 1845</v>
          </cell>
        </row>
        <row r="15">
          <cell r="B15" t="str">
            <v>Quạt trần 0,1 Kw</v>
          </cell>
          <cell r="C15" t="str">
            <v>Cái</v>
          </cell>
          <cell r="D15">
            <v>1</v>
          </cell>
          <cell r="E15">
            <v>828000</v>
          </cell>
          <cell r="F15">
            <v>66240</v>
          </cell>
          <cell r="G15">
            <v>894240</v>
          </cell>
          <cell r="H15" t="str">
            <v>Quạt trần điện cơ 91 QT 1400</v>
          </cell>
        </row>
        <row r="16">
          <cell r="B16" t="str">
            <v>Bộ đèn neon 0,04 Kw</v>
          </cell>
          <cell r="C16" t="str">
            <v>bộ</v>
          </cell>
          <cell r="D16">
            <v>1</v>
          </cell>
          <cell r="E16">
            <v>133400</v>
          </cell>
          <cell r="F16">
            <v>10672</v>
          </cell>
          <cell r="G16">
            <v>144072</v>
          </cell>
          <cell r="H16" t="str">
            <v>Theo báo giá T6/2022 kèm theo</v>
          </cell>
        </row>
        <row r="17">
          <cell r="B17" t="str">
            <v>Tủ đựng tài liệu</v>
          </cell>
          <cell r="C17" t="str">
            <v>Cái</v>
          </cell>
          <cell r="D17">
            <v>1</v>
          </cell>
          <cell r="E17">
            <v>3496000</v>
          </cell>
          <cell r="F17">
            <v>279680</v>
          </cell>
          <cell r="G17">
            <v>3775680</v>
          </cell>
          <cell r="H17" t="str">
            <v>tủ sắt Hòa Phát TU09K6D</v>
          </cell>
        </row>
        <row r="18">
          <cell r="B18" t="str">
            <v>Máy hút bụi 1,5 Kw</v>
          </cell>
          <cell r="C18" t="str">
            <v>Cái</v>
          </cell>
          <cell r="D18">
            <v>1</v>
          </cell>
          <cell r="E18">
            <v>2346000</v>
          </cell>
          <cell r="F18">
            <v>187680</v>
          </cell>
          <cell r="G18">
            <v>2533680</v>
          </cell>
          <cell r="H18" t="str">
            <v>Máy hút bụi HiCleane 30L</v>
          </cell>
        </row>
        <row r="19">
          <cell r="B19" t="str">
            <v>Máy định vị cầm tay (GPS)</v>
          </cell>
          <cell r="C19" t="str">
            <v>Cái</v>
          </cell>
          <cell r="D19">
            <v>1</v>
          </cell>
          <cell r="E19">
            <v>11040000</v>
          </cell>
          <cell r="F19">
            <v>883200</v>
          </cell>
          <cell r="G19">
            <v>11923200</v>
          </cell>
          <cell r="H19" t="str">
            <v>GPS Garmin MONTANA 680</v>
          </cell>
        </row>
        <row r="20">
          <cell r="B20" t="str">
            <v>Dụng cụ đào đất</v>
          </cell>
          <cell r="C20" t="str">
            <v>Cái</v>
          </cell>
          <cell r="D20">
            <v>1</v>
          </cell>
          <cell r="E20">
            <v>230000</v>
          </cell>
          <cell r="F20">
            <v>18400</v>
          </cell>
          <cell r="G20">
            <v>248400</v>
          </cell>
          <cell r="H20" t="str">
            <v>Xẻng đào hố, đánh bầu cây, đào đất đa năng - D12</v>
          </cell>
        </row>
        <row r="21">
          <cell r="B21" t="str">
            <v>Đồng hồ treo tường</v>
          </cell>
          <cell r="C21" t="str">
            <v>Cái</v>
          </cell>
          <cell r="D21">
            <v>1</v>
          </cell>
          <cell r="E21">
            <v>550000</v>
          </cell>
          <cell r="F21">
            <v>44000</v>
          </cell>
          <cell r="G21">
            <v>594000</v>
          </cell>
          <cell r="H21" t="str">
            <v>Đồng hồ treo tường Kashi HM352 Trắng</v>
          </cell>
        </row>
        <row r="22">
          <cell r="B22" t="str">
            <v>Màn chiếu điện</v>
          </cell>
          <cell r="C22" t="str">
            <v>Cái</v>
          </cell>
          <cell r="D22">
            <v>1</v>
          </cell>
          <cell r="E22">
            <v>1239000</v>
          </cell>
          <cell r="F22">
            <v>99120</v>
          </cell>
          <cell r="G22">
            <v>1338120</v>
          </cell>
          <cell r="H22" t="str">
            <v>Màn chiếu treo tường Dalite P70WS ( 1m78 x 1m78 ) - 100 inch</v>
          </cell>
        </row>
        <row r="23">
          <cell r="B23" t="str">
            <v>Bút trình chiếu</v>
          </cell>
          <cell r="C23" t="str">
            <v>Cái</v>
          </cell>
          <cell r="D23">
            <v>1</v>
          </cell>
          <cell r="E23">
            <v>595000</v>
          </cell>
          <cell r="F23">
            <v>47600</v>
          </cell>
          <cell r="G23">
            <v>642600</v>
          </cell>
          <cell r="H23" t="str">
            <v>Bút trình chiếu Logitech R400</v>
          </cell>
        </row>
        <row r="24">
          <cell r="B24" t="str">
            <v>Ba lô</v>
          </cell>
          <cell r="C24" t="str">
            <v>Cái</v>
          </cell>
          <cell r="D24">
            <v>1</v>
          </cell>
          <cell r="E24">
            <v>303600</v>
          </cell>
          <cell r="F24">
            <v>24288</v>
          </cell>
          <cell r="G24">
            <v>327888</v>
          </cell>
          <cell r="H24" t="str">
            <v>Ba lô du lịch thể thao nam công suất lớn phong cách hiện đại – BLN1004</v>
          </cell>
        </row>
        <row r="25">
          <cell r="B25" t="str">
            <v>Bàn dập ghim</v>
          </cell>
          <cell r="C25" t="str">
            <v>Cái</v>
          </cell>
          <cell r="D25">
            <v>1</v>
          </cell>
          <cell r="E25">
            <v>519000</v>
          </cell>
          <cell r="F25">
            <v>41520</v>
          </cell>
          <cell r="G25">
            <v>560520</v>
          </cell>
          <cell r="H25" t="str">
            <v>Dập ghim Deli, cỡ lớn 210 trang</v>
          </cell>
        </row>
        <row r="26">
          <cell r="B26" t="str">
            <v>Bình đựng nước uống</v>
          </cell>
          <cell r="C26" t="str">
            <v>Cái</v>
          </cell>
          <cell r="D26">
            <v>1</v>
          </cell>
          <cell r="E26">
            <v>110400</v>
          </cell>
          <cell r="F26">
            <v>8832</v>
          </cell>
          <cell r="G26">
            <v>119232</v>
          </cell>
          <cell r="H26" t="str">
            <v>Bình đựng nước uống Sport cup 2L</v>
          </cell>
        </row>
        <row r="27">
          <cell r="B27" t="str">
            <v>Mũ cứng</v>
          </cell>
          <cell r="C27" t="str">
            <v>Cái</v>
          </cell>
          <cell r="D27">
            <v>1</v>
          </cell>
          <cell r="E27">
            <v>125000</v>
          </cell>
          <cell r="F27">
            <v>10000</v>
          </cell>
          <cell r="G27">
            <v>135000</v>
          </cell>
          <cell r="H27" t="str">
            <v>Mũ bảo hộ lao động Sseda Hàn Quốc mặt tròn cho kĩ sư, kĩ thuật M105, Màu trắng</v>
          </cell>
        </row>
        <row r="28">
          <cell r="B28" t="str">
            <v>Giày bảo hộ</v>
          </cell>
          <cell r="C28" t="str">
            <v>Đôi</v>
          </cell>
          <cell r="D28">
            <v>1</v>
          </cell>
          <cell r="E28">
            <v>190000</v>
          </cell>
          <cell r="F28">
            <v>15200</v>
          </cell>
          <cell r="G28">
            <v>205200</v>
          </cell>
          <cell r="H28" t="str">
            <v>Giày bảo hộ lao động TD9905</v>
          </cell>
        </row>
        <row r="29">
          <cell r="B29" t="str">
            <v>Tất</v>
          </cell>
          <cell r="C29" t="str">
            <v>Đôi</v>
          </cell>
          <cell r="D29">
            <v>1</v>
          </cell>
          <cell r="E29">
            <v>10500</v>
          </cell>
          <cell r="F29">
            <v>840</v>
          </cell>
          <cell r="G29">
            <v>11340</v>
          </cell>
          <cell r="H29" t="str">
            <v>Tất Dệt Kim Hà Nội, Đá Bóng, Bộ Đội, Thể Thao, Tat Lao Động , cao cổ</v>
          </cell>
        </row>
        <row r="30">
          <cell r="B30" t="str">
            <v>Quần áo bảo hộ lao động</v>
          </cell>
          <cell r="C30" t="str">
            <v>Bộ</v>
          </cell>
          <cell r="D30">
            <v>1</v>
          </cell>
          <cell r="E30">
            <v>386400</v>
          </cell>
          <cell r="F30">
            <v>30912</v>
          </cell>
          <cell r="G30">
            <v>417312</v>
          </cell>
          <cell r="H30" t="str">
            <v>Quần áo bảo hộ lao động AKBH-VN-14</v>
          </cell>
        </row>
        <row r="31">
          <cell r="B31" t="str">
            <v>Quần áo mưa</v>
          </cell>
          <cell r="C31" t="str">
            <v>Bộ</v>
          </cell>
          <cell r="D31">
            <v>1</v>
          </cell>
          <cell r="E31">
            <v>184563</v>
          </cell>
          <cell r="F31">
            <v>14765.04</v>
          </cell>
          <cell r="G31">
            <v>199328.04</v>
          </cell>
          <cell r="H31" t="str">
            <v>Bộ áo mưa cao cấp RODALCO THỦY SƠN 2 lớp Mã 81</v>
          </cell>
        </row>
        <row r="32">
          <cell r="B32" t="str">
            <v>Ổ ghi CD 0,4 kW</v>
          </cell>
          <cell r="C32" t="str">
            <v>Cái</v>
          </cell>
          <cell r="D32">
            <v>1</v>
          </cell>
          <cell r="E32">
            <v>450000</v>
          </cell>
          <cell r="F32">
            <v>36000</v>
          </cell>
          <cell r="G32">
            <v>486000</v>
          </cell>
          <cell r="H32" t="str">
            <v>Ổ đĩa quang đọc ghi đĩa CD DVD-RW cắm ngoài USB cho Laptop, PC</v>
          </cell>
        </row>
        <row r="33">
          <cell r="B33" t="str">
            <v>Bàn dập ghim loại trung bình</v>
          </cell>
          <cell r="C33" t="str">
            <v>Cái</v>
          </cell>
          <cell r="D33">
            <v>1</v>
          </cell>
          <cell r="E33">
            <v>201000</v>
          </cell>
          <cell r="F33">
            <v>16080</v>
          </cell>
          <cell r="G33">
            <v>217080</v>
          </cell>
          <cell r="H33" t="str">
            <v>Bấm, Dập Ghim Cỡ Trung Deli 391 - Dập 60 Tờ/Lần</v>
          </cell>
        </row>
        <row r="34">
          <cell r="B34" t="str">
            <v>Bàn dập ghim loại nhỏ</v>
          </cell>
          <cell r="C34" t="str">
            <v>Cái</v>
          </cell>
          <cell r="D34">
            <v>1</v>
          </cell>
          <cell r="E34">
            <v>39500</v>
          </cell>
          <cell r="F34">
            <v>3160</v>
          </cell>
          <cell r="G34">
            <v>42660</v>
          </cell>
          <cell r="H34" t="str">
            <v>Dập Ghim Deli 10-281</v>
          </cell>
        </row>
        <row r="35">
          <cell r="B35" t="str">
            <v>Giá để tài liệu</v>
          </cell>
          <cell r="C35" t="str">
            <v>Cái</v>
          </cell>
          <cell r="D35">
            <v>1</v>
          </cell>
          <cell r="E35">
            <v>1550000</v>
          </cell>
          <cell r="F35">
            <v>124000</v>
          </cell>
          <cell r="G35">
            <v>1674000</v>
          </cell>
          <cell r="H35" t="str">
            <v>Giá thư viện Hòa Phát GS1B</v>
          </cell>
        </row>
        <row r="36">
          <cell r="B36" t="str">
            <v>Ống đựng bản đồ</v>
          </cell>
          <cell r="C36" t="str">
            <v>Cái</v>
          </cell>
          <cell r="D36">
            <v>1</v>
          </cell>
          <cell r="E36">
            <v>95000</v>
          </cell>
          <cell r="F36">
            <v>7600</v>
          </cell>
          <cell r="G36">
            <v>102600</v>
          </cell>
          <cell r="H36" t="str">
            <v>Ống Đựng Giấy Vẽ Khổ Giấy A0 A1 Dài</v>
          </cell>
        </row>
        <row r="37">
          <cell r="B37" t="str">
            <v>Thước eke loại trung bình</v>
          </cell>
          <cell r="C37" t="str">
            <v>Cái</v>
          </cell>
          <cell r="D37">
            <v>1</v>
          </cell>
          <cell r="E37">
            <v>16500</v>
          </cell>
          <cell r="F37">
            <v>1320</v>
          </cell>
          <cell r="G37">
            <v>17820</v>
          </cell>
          <cell r="H37" t="str">
            <v>Thước eke trung 18cm Deli 6420 - 2 cây/ bộ</v>
          </cell>
        </row>
        <row r="38">
          <cell r="B38" t="str">
            <v>Thước nhựa 120 cm</v>
          </cell>
          <cell r="C38" t="str">
            <v>Cái</v>
          </cell>
          <cell r="D38">
            <v>1</v>
          </cell>
          <cell r="E38">
            <v>194383</v>
          </cell>
          <cell r="F38">
            <v>15550.64</v>
          </cell>
          <cell r="G38">
            <v>209933.64</v>
          </cell>
          <cell r="H38" t="str">
            <v>Thước kẻ trong suốt 60cm/1.25m</v>
          </cell>
        </row>
        <row r="39">
          <cell r="B39" t="str">
            <v>Thước cuộn vải 50 m</v>
          </cell>
          <cell r="C39" t="str">
            <v>Cái</v>
          </cell>
          <cell r="D39">
            <v>1</v>
          </cell>
          <cell r="E39">
            <v>164000</v>
          </cell>
          <cell r="F39">
            <v>13120</v>
          </cell>
          <cell r="G39">
            <v>177120</v>
          </cell>
          <cell r="H39" t="str">
            <v>Thước cuộn Asaki AK-393</v>
          </cell>
        </row>
        <row r="40">
          <cell r="B40" t="str">
            <v>Sạc pin</v>
          </cell>
          <cell r="C40" t="str">
            <v>Cái</v>
          </cell>
          <cell r="D40">
            <v>1</v>
          </cell>
          <cell r="E40">
            <v>390000</v>
          </cell>
          <cell r="F40">
            <v>31200</v>
          </cell>
          <cell r="G40">
            <v>421200</v>
          </cell>
          <cell r="H40" t="str">
            <v>panasonic-cc51-aa-aaa</v>
          </cell>
        </row>
        <row r="41">
          <cell r="B41" t="str">
            <v>Máy tính bảng</v>
          </cell>
          <cell r="C41" t="str">
            <v>Cái</v>
          </cell>
          <cell r="D41">
            <v>1</v>
          </cell>
          <cell r="E41">
            <v>8590000</v>
          </cell>
          <cell r="F41">
            <v>687200</v>
          </cell>
          <cell r="G41">
            <v>9277200</v>
          </cell>
          <cell r="H41" t="str">
            <v>iPad A16 Wifi 128GB 2025</v>
          </cell>
        </row>
        <row r="42">
          <cell r="B42" t="str">
            <v>Pin máy ảnh kỹ thuật số và máy định vị</v>
          </cell>
          <cell r="C42" t="str">
            <v>Đôi</v>
          </cell>
          <cell r="D42">
            <v>1</v>
          </cell>
          <cell r="E42">
            <v>95000</v>
          </cell>
          <cell r="F42">
            <v>7600</v>
          </cell>
          <cell r="G42">
            <v>102600</v>
          </cell>
          <cell r="H42" t="str">
            <v>Pin sạc 3A ( AAA ) Camelion 1100mah</v>
          </cell>
        </row>
        <row r="43">
          <cell r="B43" t="str">
            <v>Vật Liệu</v>
          </cell>
        </row>
        <row r="44">
          <cell r="B44" t="str">
            <v>USB (4G)</v>
          </cell>
          <cell r="C44" t="str">
            <v>Cái</v>
          </cell>
          <cell r="D44">
            <v>1</v>
          </cell>
          <cell r="E44">
            <v>90000</v>
          </cell>
          <cell r="F44">
            <v>7200</v>
          </cell>
          <cell r="G44">
            <v>97200</v>
          </cell>
          <cell r="H44" t="str">
            <v>usb 4g Panram</v>
          </cell>
        </row>
        <row r="45">
          <cell r="B45" t="str">
            <v>USB (32G)</v>
          </cell>
          <cell r="C45" t="str">
            <v>Cái</v>
          </cell>
          <cell r="D45">
            <v>1</v>
          </cell>
          <cell r="E45">
            <v>179000</v>
          </cell>
          <cell r="F45">
            <v>14320</v>
          </cell>
          <cell r="G45">
            <v>193320</v>
          </cell>
          <cell r="H45" t="str">
            <v>USB 3.1 SanDisk Ultra Luxe CZ74 32GB</v>
          </cell>
        </row>
        <row r="46">
          <cell r="B46" t="str">
            <v>Đĩa CD</v>
          </cell>
          <cell r="C46" t="str">
            <v>Cái</v>
          </cell>
          <cell r="D46">
            <v>1</v>
          </cell>
          <cell r="E46">
            <v>7400</v>
          </cell>
          <cell r="F46">
            <v>592</v>
          </cell>
          <cell r="G46">
            <v>7992</v>
          </cell>
          <cell r="H46" t="str">
            <v>Đĩa CD trắng Maxell</v>
          </cell>
        </row>
        <row r="47">
          <cell r="B47" t="str">
            <v>Mực in A3 Laser</v>
          </cell>
          <cell r="C47" t="str">
            <v>Hộp</v>
          </cell>
          <cell r="D47">
            <v>1</v>
          </cell>
          <cell r="E47">
            <v>850000</v>
          </cell>
          <cell r="F47">
            <v>68000</v>
          </cell>
          <cell r="G47">
            <v>918000</v>
          </cell>
          <cell r="H47" t="str">
            <v>Mực tương thích 309</v>
          </cell>
        </row>
        <row r="48">
          <cell r="B48" t="str">
            <v>Mực in A4 Laser</v>
          </cell>
          <cell r="C48" t="str">
            <v>Hộp</v>
          </cell>
          <cell r="D48">
            <v>1</v>
          </cell>
          <cell r="E48">
            <v>300000</v>
          </cell>
          <cell r="F48">
            <v>24000</v>
          </cell>
          <cell r="G48">
            <v>324000</v>
          </cell>
          <cell r="H48" t="str">
            <v>Mực 303 - Numberone</v>
          </cell>
        </row>
        <row r="49">
          <cell r="B49" t="str">
            <v>Mực in màu A4</v>
          </cell>
          <cell r="C49" t="str">
            <v>hộp</v>
          </cell>
          <cell r="D49">
            <v>1</v>
          </cell>
          <cell r="E49">
            <v>120000</v>
          </cell>
          <cell r="F49">
            <v>9600</v>
          </cell>
          <cell r="G49">
            <v>129600</v>
          </cell>
          <cell r="H49" t="str">
            <v>Mực nạp</v>
          </cell>
        </row>
        <row r="50">
          <cell r="B50" t="str">
            <v>Mực in màu A3</v>
          </cell>
          <cell r="C50" t="str">
            <v>Bộ</v>
          </cell>
          <cell r="D50">
            <v>1</v>
          </cell>
          <cell r="E50">
            <v>1190000</v>
          </cell>
          <cell r="F50">
            <v>95200</v>
          </cell>
          <cell r="G50">
            <v>1285200</v>
          </cell>
          <cell r="H50" t="str">
            <v>Bộ mực in chính hãng Canon ix6770</v>
          </cell>
        </row>
        <row r="51">
          <cell r="B51" t="str">
            <v>Mực in Ploter (06 hộp)</v>
          </cell>
          <cell r="C51" t="str">
            <v>Bộ (6 hộp)</v>
          </cell>
          <cell r="D51">
            <v>1</v>
          </cell>
          <cell r="E51">
            <v>4140000</v>
          </cell>
          <cell r="F51">
            <v>331200</v>
          </cell>
          <cell r="G51">
            <v>4471200</v>
          </cell>
          <cell r="H51" t="str">
            <v>HP 711 29-ml</v>
          </cell>
        </row>
        <row r="52">
          <cell r="B52" t="str">
            <v>Mực phô tô</v>
          </cell>
          <cell r="C52" t="str">
            <v>Hộp</v>
          </cell>
          <cell r="D52">
            <v>1</v>
          </cell>
          <cell r="E52">
            <v>385000</v>
          </cell>
          <cell r="F52">
            <v>30800</v>
          </cell>
          <cell r="G52">
            <v>415800</v>
          </cell>
          <cell r="H52" t="str">
            <v>Sharp AR-6031NV</v>
          </cell>
        </row>
        <row r="53">
          <cell r="B53" t="str">
            <v>Đầu phun màu A0</v>
          </cell>
          <cell r="C53" t="str">
            <v>Cái</v>
          </cell>
          <cell r="D53">
            <v>1</v>
          </cell>
          <cell r="E53">
            <v>4990740.7407407397</v>
          </cell>
          <cell r="F53">
            <v>399259.25925925898</v>
          </cell>
          <cell r="G53">
            <v>5390000</v>
          </cell>
          <cell r="H53" t="str">
            <v>Đầu phun HP DesignJet T120</v>
          </cell>
        </row>
        <row r="54">
          <cell r="B54" t="str">
            <v>Đầu phun màu A3</v>
          </cell>
          <cell r="C54" t="str">
            <v>Cái</v>
          </cell>
          <cell r="D54">
            <v>1</v>
          </cell>
          <cell r="E54">
            <v>1780000</v>
          </cell>
          <cell r="F54">
            <v>142400</v>
          </cell>
          <cell r="G54">
            <v>1922400</v>
          </cell>
          <cell r="H54" t="str">
            <v>Đầu Phun Cho Máy In Phun Canon Ix6770</v>
          </cell>
        </row>
        <row r="55">
          <cell r="B55" t="str">
            <v>Đầu phun màu A4</v>
          </cell>
          <cell r="C55" t="str">
            <v>Cái</v>
          </cell>
          <cell r="D55">
            <v>1</v>
          </cell>
          <cell r="E55">
            <v>2500000</v>
          </cell>
          <cell r="F55">
            <v>200000</v>
          </cell>
          <cell r="G55">
            <v>2700000</v>
          </cell>
          <cell r="H55" t="str">
            <v>Đầu phun máy in EPSON L6170</v>
          </cell>
        </row>
        <row r="56">
          <cell r="B56" t="str">
            <v>Giấy A3</v>
          </cell>
          <cell r="C56" t="str">
            <v>Gram</v>
          </cell>
          <cell r="D56">
            <v>1</v>
          </cell>
          <cell r="E56">
            <v>124200</v>
          </cell>
          <cell r="F56">
            <v>9936</v>
          </cell>
          <cell r="G56">
            <v>134136</v>
          </cell>
          <cell r="H56" t="str">
            <v>Giấy A3 IK Plus 70 Gsm</v>
          </cell>
        </row>
        <row r="57">
          <cell r="B57" t="str">
            <v>Giấy A4</v>
          </cell>
          <cell r="C57" t="str">
            <v>Gram</v>
          </cell>
          <cell r="D57">
            <v>1</v>
          </cell>
          <cell r="E57">
            <v>64400</v>
          </cell>
          <cell r="F57">
            <v>5152</v>
          </cell>
          <cell r="G57">
            <v>69552</v>
          </cell>
          <cell r="H57" t="str">
            <v>Giấy A4 IK Plus D170</v>
          </cell>
        </row>
        <row r="58">
          <cell r="B58" t="str">
            <v>Giấy in A0</v>
          </cell>
          <cell r="C58" t="str">
            <v>cuộn</v>
          </cell>
          <cell r="D58">
            <v>1</v>
          </cell>
          <cell r="E58">
            <v>201480</v>
          </cell>
          <cell r="F58">
            <v>16118.4</v>
          </cell>
          <cell r="G58">
            <v>217598.4</v>
          </cell>
          <cell r="H58" t="str">
            <v>Giấy in A0 (50 tờ định lượng lOOgsm)</v>
          </cell>
        </row>
        <row r="59">
          <cell r="B59" t="str">
            <v>Thước dây 100 m</v>
          </cell>
          <cell r="C59" t="str">
            <v>Cái</v>
          </cell>
          <cell r="D59">
            <v>1</v>
          </cell>
          <cell r="E59">
            <v>469200</v>
          </cell>
          <cell r="F59">
            <v>37536</v>
          </cell>
          <cell r="G59">
            <v>506736</v>
          </cell>
          <cell r="H59" t="str">
            <v>Thước dây 100m Truper</v>
          </cell>
        </row>
        <row r="60">
          <cell r="B60" t="str">
            <v>Thùng tôn đựng tài liệu</v>
          </cell>
          <cell r="C60" t="str">
            <v>thùng</v>
          </cell>
          <cell r="D60">
            <v>1</v>
          </cell>
          <cell r="E60">
            <v>239200</v>
          </cell>
          <cell r="F60">
            <v>19136</v>
          </cell>
          <cell r="G60">
            <v>258336</v>
          </cell>
          <cell r="H60" t="str">
            <v>Thùng tôn đựng tài liệu (62x38x25)</v>
          </cell>
        </row>
        <row r="61">
          <cell r="B61" t="str">
            <v>Băng dính to</v>
          </cell>
          <cell r="C61" t="str">
            <v>Cuộn</v>
          </cell>
          <cell r="D61">
            <v>1</v>
          </cell>
          <cell r="E61">
            <v>25000</v>
          </cell>
          <cell r="F61">
            <v>2000</v>
          </cell>
          <cell r="G61">
            <v>27000</v>
          </cell>
          <cell r="H61" t="str">
            <v>Băng dính trắng cuộn to siêu dính</v>
          </cell>
        </row>
        <row r="62">
          <cell r="B62" t="str">
            <v>Gọt bút chì</v>
          </cell>
          <cell r="C62" t="str">
            <v>Cái</v>
          </cell>
          <cell r="D62">
            <v>1</v>
          </cell>
          <cell r="E62">
            <v>23900</v>
          </cell>
          <cell r="F62">
            <v>1912</v>
          </cell>
          <cell r="G62">
            <v>25812</v>
          </cell>
          <cell r="H62" t="str">
            <v>Gọt bút chì cao cấp Deli 0596 hợp kim kẽm</v>
          </cell>
        </row>
        <row r="63">
          <cell r="B63" t="str">
            <v>Kéo cắt giấy</v>
          </cell>
          <cell r="C63" t="str">
            <v>Cái</v>
          </cell>
          <cell r="D63">
            <v>1</v>
          </cell>
          <cell r="E63">
            <v>38700</v>
          </cell>
          <cell r="F63">
            <v>3096</v>
          </cell>
          <cell r="G63">
            <v>41796</v>
          </cell>
          <cell r="H63" t="str">
            <v>Kéo Văn Phòng Deli 210mm 6010</v>
          </cell>
        </row>
        <row r="64">
          <cell r="B64" t="str">
            <v>Bút bi</v>
          </cell>
          <cell r="C64" t="str">
            <v>Cái</v>
          </cell>
          <cell r="D64">
            <v>1</v>
          </cell>
          <cell r="E64">
            <v>14500</v>
          </cell>
          <cell r="F64">
            <v>1160</v>
          </cell>
          <cell r="G64">
            <v>15660</v>
          </cell>
          <cell r="H64" t="str">
            <v>Bút Bi 0.7 mm Thiên Long TL-036 - Mực Xanh</v>
          </cell>
        </row>
        <row r="65">
          <cell r="B65" t="str">
            <v>Bút bi nước My gel</v>
          </cell>
          <cell r="C65" t="str">
            <v>Cái</v>
          </cell>
          <cell r="D65">
            <v>1</v>
          </cell>
          <cell r="E65">
            <v>11500</v>
          </cell>
          <cell r="F65">
            <v>920</v>
          </cell>
          <cell r="G65">
            <v>12420</v>
          </cell>
          <cell r="H65" t="str">
            <v>Viết Nước My-Gel Đông A - Mực Xanh</v>
          </cell>
        </row>
        <row r="66">
          <cell r="B66" t="str">
            <v>Bút chì</v>
          </cell>
          <cell r="C66" t="str">
            <v>Cái</v>
          </cell>
          <cell r="D66">
            <v>1</v>
          </cell>
          <cell r="E66">
            <v>4500</v>
          </cell>
          <cell r="F66">
            <v>360</v>
          </cell>
          <cell r="G66">
            <v>4860</v>
          </cell>
          <cell r="H66" t="str">
            <v>Bút Chì Gỗ 2B Thiên Long GP-018 - Thân Vàng</v>
          </cell>
        </row>
        <row r="67">
          <cell r="B67" t="str">
            <v>Bút chì kim</v>
          </cell>
          <cell r="C67" t="str">
            <v>Cái</v>
          </cell>
          <cell r="D67">
            <v>1</v>
          </cell>
          <cell r="E67">
            <v>30000</v>
          </cell>
          <cell r="F67">
            <v>2400</v>
          </cell>
          <cell r="G67">
            <v>32400</v>
          </cell>
          <cell r="H67" t="str">
            <v>Bút chì kim Deli 0.5mm</v>
          </cell>
        </row>
        <row r="68">
          <cell r="B68" t="str">
            <v>Bút dạ màu</v>
          </cell>
          <cell r="C68" t="str">
            <v>Cái</v>
          </cell>
          <cell r="D68">
            <v>1</v>
          </cell>
          <cell r="E68">
            <v>19000</v>
          </cell>
          <cell r="F68">
            <v>1520</v>
          </cell>
          <cell r="G68">
            <v>20520</v>
          </cell>
          <cell r="H68" t="str">
            <v>Bút dạ màu 12 màu Deli C10003</v>
          </cell>
        </row>
        <row r="69">
          <cell r="B69" t="str">
            <v>Bút nhớ dòng</v>
          </cell>
          <cell r="C69" t="str">
            <v>Cái</v>
          </cell>
          <cell r="D69">
            <v>1</v>
          </cell>
          <cell r="E69">
            <v>25000</v>
          </cell>
          <cell r="F69">
            <v>2000</v>
          </cell>
          <cell r="G69">
            <v>27000</v>
          </cell>
          <cell r="H69" t="str">
            <v>Bút Đánh Dấu Dòng Staedtler 364 C-530</v>
          </cell>
        </row>
        <row r="70">
          <cell r="B70" t="str">
            <v>Bút xóa</v>
          </cell>
          <cell r="C70" t="str">
            <v>Cái</v>
          </cell>
          <cell r="D70">
            <v>1</v>
          </cell>
          <cell r="E70">
            <v>30500</v>
          </cell>
          <cell r="F70">
            <v>2440</v>
          </cell>
          <cell r="G70">
            <v>32940</v>
          </cell>
          <cell r="H70" t="str">
            <v>Bút xóa nước Thiên Long - CP02</v>
          </cell>
        </row>
        <row r="71">
          <cell r="B71" t="str">
            <v>Cặp 3 dây</v>
          </cell>
          <cell r="C71" t="str">
            <v>Cái</v>
          </cell>
          <cell r="D71">
            <v>1</v>
          </cell>
          <cell r="E71">
            <v>6000</v>
          </cell>
          <cell r="F71">
            <v>480</v>
          </cell>
          <cell r="G71">
            <v>6480</v>
          </cell>
          <cell r="H71" t="str">
            <v>Cặp 3 dây giấy 7 cm</v>
          </cell>
        </row>
        <row r="72">
          <cell r="B72" t="str">
            <v>Ghim dập</v>
          </cell>
          <cell r="C72" t="str">
            <v>Hộp</v>
          </cell>
          <cell r="D72">
            <v>1</v>
          </cell>
          <cell r="E72">
            <v>3000</v>
          </cell>
          <cell r="F72">
            <v>240</v>
          </cell>
          <cell r="G72">
            <v>3240</v>
          </cell>
          <cell r="H72" t="str">
            <v>Ghim bấm số 10 Double A</v>
          </cell>
        </row>
        <row r="73">
          <cell r="B73" t="str">
            <v>Ghim vòng</v>
          </cell>
          <cell r="C73" t="str">
            <v>Hộp</v>
          </cell>
          <cell r="D73">
            <v>1</v>
          </cell>
          <cell r="E73">
            <v>18000</v>
          </cell>
          <cell r="F73">
            <v>1440</v>
          </cell>
          <cell r="G73">
            <v>19440</v>
          </cell>
          <cell r="H73" t="str">
            <v>Ghim cài C62, ghim vòng</v>
          </cell>
        </row>
        <row r="74">
          <cell r="B74" t="str">
            <v>Hồ dán khô</v>
          </cell>
          <cell r="C74" t="str">
            <v>Hộp</v>
          </cell>
          <cell r="D74">
            <v>1</v>
          </cell>
          <cell r="E74">
            <v>15000</v>
          </cell>
          <cell r="F74">
            <v>1200</v>
          </cell>
          <cell r="G74">
            <v>16200</v>
          </cell>
          <cell r="H74" t="str">
            <v>Hồ khô Double A</v>
          </cell>
        </row>
        <row r="75">
          <cell r="B75" t="str">
            <v>Sổ ghi chép</v>
          </cell>
          <cell r="C75" t="str">
            <v>Cuốn</v>
          </cell>
          <cell r="D75">
            <v>1</v>
          </cell>
          <cell r="E75">
            <v>19500</v>
          </cell>
          <cell r="F75">
            <v>1560</v>
          </cell>
          <cell r="G75">
            <v>21060</v>
          </cell>
          <cell r="H75" t="str">
            <v>In sổ note A4 gáy lò xo</v>
          </cell>
        </row>
        <row r="76">
          <cell r="B76" t="str">
            <v>Tẩy chì</v>
          </cell>
          <cell r="C76" t="str">
            <v>Cái</v>
          </cell>
          <cell r="D76">
            <v>1</v>
          </cell>
          <cell r="E76">
            <v>8000</v>
          </cell>
          <cell r="F76">
            <v>640</v>
          </cell>
          <cell r="G76">
            <v>8640</v>
          </cell>
          <cell r="H76" t="str">
            <v>Tẩy Gôm Standard Campus ER-STA-30 - Trắng</v>
          </cell>
        </row>
        <row r="77">
          <cell r="B77" t="str">
            <v>Thước nhựa 40 cm</v>
          </cell>
          <cell r="C77" t="str">
            <v>Cái</v>
          </cell>
          <cell r="D77">
            <v>1</v>
          </cell>
          <cell r="E77">
            <v>29500</v>
          </cell>
          <cell r="F77">
            <v>2360</v>
          </cell>
          <cell r="G77">
            <v>31860</v>
          </cell>
          <cell r="H77" t="str">
            <v>Thước Kẻ 40 Cm Baoke RU2040</v>
          </cell>
        </row>
        <row r="78">
          <cell r="B78" t="str">
            <v>Cặp đựng tài liệu</v>
          </cell>
          <cell r="C78" t="str">
            <v>Cái</v>
          </cell>
          <cell r="D78">
            <v>1</v>
          </cell>
          <cell r="E78">
            <v>50000</v>
          </cell>
          <cell r="F78">
            <v>4000</v>
          </cell>
          <cell r="G78">
            <v>54000</v>
          </cell>
          <cell r="H78" t="str">
            <v>File 40 Lá Double A</v>
          </cell>
        </row>
        <row r="79">
          <cell r="B79" t="str">
            <v>Ổ cứng gắn ngoài (2TB)</v>
          </cell>
          <cell r="C79" t="str">
            <v>Cái</v>
          </cell>
          <cell r="D79">
            <v>1</v>
          </cell>
          <cell r="E79">
            <v>2599000</v>
          </cell>
          <cell r="F79">
            <v>207920</v>
          </cell>
          <cell r="G79">
            <v>2806920</v>
          </cell>
          <cell r="H79" t="str">
            <v>Ổ cứng gắn ngoài 2TB USB 3.0 2.5 inch Seagate One Touch Xám - STKY2000404</v>
          </cell>
        </row>
        <row r="80">
          <cell r="B80" t="str">
            <v>Túi nylông (clear)</v>
          </cell>
          <cell r="C80" t="str">
            <v>Cái</v>
          </cell>
          <cell r="D80">
            <v>1</v>
          </cell>
          <cell r="E80">
            <v>5000</v>
          </cell>
          <cell r="F80">
            <v>400</v>
          </cell>
          <cell r="G80">
            <v>5400</v>
          </cell>
          <cell r="H80" t="str">
            <v>Túi Cúc -Túi Clear Khổ F </v>
          </cell>
        </row>
        <row r="81">
          <cell r="B81" t="str">
            <v>Nhiên liệu, Năng Lượng</v>
          </cell>
        </row>
        <row r="82">
          <cell r="B82" t="str">
            <v>Xăng</v>
          </cell>
          <cell r="C82" t="str">
            <v>Lít</v>
          </cell>
          <cell r="D82">
            <v>1</v>
          </cell>
          <cell r="E82">
            <v>19600</v>
          </cell>
          <cell r="F82">
            <v>1568</v>
          </cell>
          <cell r="G82">
            <v>21168</v>
          </cell>
          <cell r="H82" t="str">
            <v>Xăng E10 RON 95-III</v>
          </cell>
        </row>
        <row r="83">
          <cell r="B83" t="str">
            <v>Dầu nhờn</v>
          </cell>
          <cell r="C83" t="str">
            <v>Hộp/lít</v>
          </cell>
          <cell r="D83">
            <v>1</v>
          </cell>
          <cell r="E83">
            <v>92000</v>
          </cell>
          <cell r="F83">
            <v>7360</v>
          </cell>
          <cell r="G83">
            <v>99360</v>
          </cell>
          <cell r="H83" t="str">
            <v>Nhớt xe số Castrol Activ 4T 20W40 800ml</v>
          </cell>
        </row>
        <row r="84">
          <cell r="B84" t="str">
            <v>Điện</v>
          </cell>
          <cell r="D84">
            <v>1</v>
          </cell>
          <cell r="E84">
            <v>2226</v>
          </cell>
          <cell r="F84">
            <v>178.08</v>
          </cell>
          <cell r="G84">
            <v>2404.08</v>
          </cell>
          <cell r="H84" t="str">
            <v>Biểu giá bán buôn điện (theo Quyết định số 1279/QĐ-BCT ngày 09/5/2025 của Bộ Công Thương)- đơn vị hành chính sự nghiệp dưới 6Kv</v>
          </cell>
        </row>
        <row r="85">
          <cell r="B85" t="str">
            <v>Thiết bị, máy móc</v>
          </cell>
        </row>
        <row r="86">
          <cell r="B86" t="str">
            <v>Máy vi tính</v>
          </cell>
          <cell r="C86" t="str">
            <v>Bộ</v>
          </cell>
          <cell r="D86">
            <v>1</v>
          </cell>
          <cell r="E86">
            <v>11000000</v>
          </cell>
          <cell r="F86">
            <v>880000</v>
          </cell>
          <cell r="G86">
            <v>11880000</v>
          </cell>
          <cell r="H86" t="str">
            <v>Máy tính đồng bộ Dell Vostro 3888
CPU: Intel Core 13-10100 (3.60GHz upto 4.30GHz, 4 Cores 8 Threads, 6MB Cache)
RAM: 4GB (4Gxl) DDR4 2666MHz (x2 slot)
Ỏ cứng: 1TB 7200rpm 3.5” SATA HDD (xl SSD M2 PCIE )
VGA: Intel® UHD Graphics 630 Hệ điều hành: Windows 10 Home DVDRW: Không có
Mor LCD 20” Dell</v>
          </cell>
        </row>
        <row r="87">
          <cell r="B87" t="str">
            <v>Máy điều hoà nhiệt độ</v>
          </cell>
          <cell r="C87" t="str">
            <v>Bộ</v>
          </cell>
          <cell r="D87">
            <v>1</v>
          </cell>
          <cell r="E87">
            <v>14710800</v>
          </cell>
          <cell r="F87">
            <v>1176864</v>
          </cell>
          <cell r="G87">
            <v>15887664</v>
          </cell>
          <cell r="H87" t="str">
            <v>Panasonic  2 chiều Inverter 9000BTU XZ9XKH-8</v>
          </cell>
        </row>
        <row r="88">
          <cell r="B88" t="str">
            <v>Máy tính xách tay</v>
          </cell>
          <cell r="C88" t="str">
            <v>Cái</v>
          </cell>
          <cell r="D88">
            <v>1</v>
          </cell>
          <cell r="E88">
            <v>13372000</v>
          </cell>
          <cell r="F88">
            <v>1069760</v>
          </cell>
          <cell r="G88">
            <v>14441760</v>
          </cell>
          <cell r="H88" t="str">
            <v>Laptop HP 240 G8 i5 1135G7</v>
          </cell>
        </row>
        <row r="89">
          <cell r="B89" t="str">
            <v>Máy scan A0</v>
          </cell>
          <cell r="C89" t="str">
            <v>Cái</v>
          </cell>
          <cell r="D89">
            <v>1</v>
          </cell>
          <cell r="E89">
            <v>122601500</v>
          </cell>
          <cell r="F89">
            <v>9808120</v>
          </cell>
          <cell r="G89">
            <v>132409620</v>
          </cell>
          <cell r="H89" t="str">
            <v>Máy quét khổ giấy A0 COLORTRAC SMARTLF SC Xpress 36m trắng đen</v>
          </cell>
        </row>
        <row r="90">
          <cell r="B90" t="str">
            <v>Máy scan A4</v>
          </cell>
          <cell r="C90" t="str">
            <v>Cái</v>
          </cell>
          <cell r="D90">
            <v>1</v>
          </cell>
          <cell r="E90">
            <v>7820000</v>
          </cell>
          <cell r="F90">
            <v>625600</v>
          </cell>
          <cell r="G90">
            <v>8445600</v>
          </cell>
          <cell r="H90" t="str">
            <v>Máy ScanJet Pro 3000 S4 (6FW07A)</v>
          </cell>
        </row>
        <row r="91">
          <cell r="B91" t="str">
            <v>Máy in A3</v>
          </cell>
          <cell r="C91" t="str">
            <v>Cái</v>
          </cell>
          <cell r="D91">
            <v>1</v>
          </cell>
          <cell r="E91">
            <v>22236000</v>
          </cell>
          <cell r="F91">
            <v>1778880</v>
          </cell>
          <cell r="G91">
            <v>24014880</v>
          </cell>
          <cell r="H91" t="str">
            <v>Máy in Laser đen trắng A3 Canon LBP8100n</v>
          </cell>
        </row>
        <row r="92">
          <cell r="B92" t="str">
            <v>Máy in màu A3</v>
          </cell>
          <cell r="C92" t="str">
            <v>Cái</v>
          </cell>
          <cell r="D92">
            <v>1</v>
          </cell>
          <cell r="E92">
            <v>5800000</v>
          </cell>
          <cell r="F92">
            <v>464000</v>
          </cell>
          <cell r="G92">
            <v>6264000</v>
          </cell>
          <cell r="H92" t="str">
            <v>Máy in Canon PIXMA iX6770</v>
          </cell>
        </row>
        <row r="93">
          <cell r="B93" t="str">
            <v>Máy in màu A4</v>
          </cell>
          <cell r="C93" t="str">
            <v>Cái</v>
          </cell>
          <cell r="D93">
            <v>1</v>
          </cell>
          <cell r="E93">
            <v>7360000</v>
          </cell>
          <cell r="F93">
            <v>588800</v>
          </cell>
          <cell r="G93">
            <v>7948800</v>
          </cell>
          <cell r="H93" t="str">
            <v>Máy in phun màu đa chức năng không dây EPSON L1670</v>
          </cell>
        </row>
        <row r="94">
          <cell r="B94" t="str">
            <v>Máy in A4</v>
          </cell>
          <cell r="C94" t="str">
            <v>Cái</v>
          </cell>
          <cell r="D94">
            <v>1</v>
          </cell>
          <cell r="E94">
            <v>6164000</v>
          </cell>
          <cell r="F94">
            <v>493120</v>
          </cell>
          <cell r="G94">
            <v>6657120</v>
          </cell>
          <cell r="H94" t="str">
            <v>Máy in Canon LBP 226DW</v>
          </cell>
        </row>
        <row r="95">
          <cell r="B95" t="str">
            <v>Máy in Plotter</v>
          </cell>
          <cell r="C95" t="str">
            <v>Cái</v>
          </cell>
          <cell r="D95">
            <v>1</v>
          </cell>
          <cell r="E95">
            <v>28050000</v>
          </cell>
          <cell r="F95">
            <v>2244000</v>
          </cell>
          <cell r="G95">
            <v>30294000</v>
          </cell>
          <cell r="H95" t="str">
            <v>Máy in màu khổ lớn HP DesignJet T120 24-in Printer</v>
          </cell>
        </row>
        <row r="96">
          <cell r="B96" t="str">
            <v>Máy chiếu Projector</v>
          </cell>
          <cell r="C96" t="str">
            <v>Cái</v>
          </cell>
          <cell r="D96">
            <v>1</v>
          </cell>
          <cell r="E96">
            <v>19320000</v>
          </cell>
          <cell r="F96">
            <v>1545600</v>
          </cell>
          <cell r="G96">
            <v>20865600</v>
          </cell>
          <cell r="H96" t="str">
            <v>MÁY CHIẾU SONY VPL-EX575 -4200 ANSI LUMENS</v>
          </cell>
        </row>
        <row r="97">
          <cell r="B97" t="str">
            <v>Máy phô tô</v>
          </cell>
          <cell r="C97" t="str">
            <v>Cái</v>
          </cell>
          <cell r="D97">
            <v>1</v>
          </cell>
          <cell r="E97">
            <v>44454000</v>
          </cell>
          <cell r="F97">
            <v>3556320</v>
          </cell>
          <cell r="G97">
            <v>48010320</v>
          </cell>
          <cell r="H97" t="str">
            <v>Máy photocopy Sharp AR-6031NV</v>
          </cell>
        </row>
        <row r="98">
          <cell r="B98" t="str">
            <v>Máy ảnh kĩ thuật số</v>
          </cell>
          <cell r="C98" t="str">
            <v>Cái</v>
          </cell>
          <cell r="D98">
            <v>1</v>
          </cell>
          <cell r="E98">
            <v>2268519</v>
          </cell>
          <cell r="F98">
            <v>181481</v>
          </cell>
          <cell r="G98">
            <v>2450000</v>
          </cell>
          <cell r="H98" t="str">
            <v>Canon IXUS 185 đen - Trung Quốc</v>
          </cell>
        </row>
        <row r="99">
          <cell r="B99" t="str">
            <v>Máy quay phim</v>
          </cell>
          <cell r="C99" t="str">
            <v>Cái</v>
          </cell>
          <cell r="D99">
            <v>1</v>
          </cell>
          <cell r="E99">
            <v>64900000</v>
          </cell>
          <cell r="F99">
            <v>5192000</v>
          </cell>
          <cell r="G99">
            <v>70092000</v>
          </cell>
          <cell r="H99" t="str">
            <v>may-quay-sony-xdcam-pxwz90</v>
          </cell>
        </row>
        <row r="100">
          <cell r="B100" t="str">
            <v>Bộ máy tính cấu hình cao</v>
          </cell>
          <cell r="C100" t="str">
            <v>Cái</v>
          </cell>
          <cell r="D100">
            <v>1</v>
          </cell>
          <cell r="E100">
            <v>31000000</v>
          </cell>
          <cell r="F100">
            <v>2480000</v>
          </cell>
          <cell r="G100">
            <v>33480000</v>
          </cell>
          <cell r="H100" t="str">
            <v>Máy tính trạm Dell Precision 3680 Tower/ i7-14700/ 2x8GB DDR5/ 256GB SSD + 2TB SATA/ NVIDIA T400 4GB/ 300W/ K + M/ Ubuntu/ ProSupport 3Yrs &amp; KYHD</v>
          </cell>
        </row>
        <row r="101">
          <cell r="B101" t="str">
            <v>Ô tô bán tải</v>
          </cell>
          <cell r="C101" t="str">
            <v>Cái</v>
          </cell>
          <cell r="D101">
            <v>1</v>
          </cell>
          <cell r="E101">
            <v>629629630</v>
          </cell>
          <cell r="F101">
            <v>50370370</v>
          </cell>
          <cell r="G101">
            <v>680000000</v>
          </cell>
          <cell r="H101" t="str">
            <v>Mitsubíhi Triton 2 cầu số sàn 4x4 MT - Thái Lan</v>
          </cell>
        </row>
        <row r="102">
          <cell r="B102" t="str">
            <v>Ô tô 7 chỗ</v>
          </cell>
          <cell r="C102" t="str">
            <v>Cái</v>
          </cell>
          <cell r="D102">
            <v>1</v>
          </cell>
          <cell r="E102">
            <v>759000000</v>
          </cell>
          <cell r="F102">
            <v>50370370</v>
          </cell>
          <cell r="G102">
            <v>680000000</v>
          </cell>
          <cell r="H102" t="str">
            <v>Ford Territory Trend</v>
          </cell>
        </row>
        <row r="103">
          <cell r="B103" t="str">
            <v>Khoan lấy mẫu đất</v>
          </cell>
          <cell r="C103" t="str">
            <v>Bộ</v>
          </cell>
          <cell r="D103">
            <v>1</v>
          </cell>
          <cell r="E103">
            <v>37037037</v>
          </cell>
          <cell r="F103">
            <v>2962963</v>
          </cell>
          <cell r="G103">
            <v>40000000</v>
          </cell>
          <cell r="H103" t="str">
            <v>Bộ lấy mẫu đất 04.02.SA Eijkelkamp</v>
          </cell>
        </row>
        <row r="104">
          <cell r="B104" t="str">
            <v>Dụng cụ so màu đất (Munsell)</v>
          </cell>
          <cell r="C104" t="str">
            <v>Quyển</v>
          </cell>
          <cell r="D104">
            <v>1</v>
          </cell>
          <cell r="E104">
            <v>15740741</v>
          </cell>
          <cell r="F104">
            <v>1259259</v>
          </cell>
          <cell r="G104">
            <v>17000000</v>
          </cell>
          <cell r="H104" t="str">
            <v>Model: M50215B 
Nhà sản xuất: Pantone</v>
          </cell>
        </row>
        <row r="105">
          <cell r="B105" t="str">
            <v>Ống đựng dung trọng đất</v>
          </cell>
          <cell r="C105" t="str">
            <v>Cái</v>
          </cell>
          <cell r="D105">
            <v>1</v>
          </cell>
          <cell r="E105">
            <v>925926</v>
          </cell>
          <cell r="F105">
            <v>74074</v>
          </cell>
          <cell r="G105">
            <v>1000000</v>
          </cell>
          <cell r="H105" t="str">
            <v>Ống đựng Dung Trọng AMS - Mỹ
Model: 400.80</v>
          </cell>
        </row>
        <row r="106">
          <cell r="B106" t="str">
            <v>Bộ đóng dung trọng đất (thanh và búa đóng)</v>
          </cell>
          <cell r="C106" t="str">
            <v>Bộ</v>
          </cell>
          <cell r="D106">
            <v>1</v>
          </cell>
          <cell r="E106">
            <v>4351852</v>
          </cell>
          <cell r="F106">
            <v>348148</v>
          </cell>
          <cell r="G106">
            <v>4700000</v>
          </cell>
          <cell r="H106" t="str">
            <v>Bộ đóng dung trọng đất (thanh và búa đóng) AMS - Mỹ
Model: 400.80</v>
          </cell>
        </row>
        <row r="107">
          <cell r="B107" t="str">
            <v>Hộp tiêu bản</v>
          </cell>
          <cell r="C107" t="str">
            <v>Cái</v>
          </cell>
          <cell r="D107">
            <v>1</v>
          </cell>
          <cell r="E107">
            <v>27778</v>
          </cell>
          <cell r="F107">
            <v>2222</v>
          </cell>
          <cell r="G107">
            <v>30000</v>
          </cell>
          <cell r="H107" t="str">
            <v>Việt nam</v>
          </cell>
        </row>
        <row r="108">
          <cell r="B108" t="str">
            <v>Thước đo phẫu diện</v>
          </cell>
          <cell r="C108" t="str">
            <v>Cái</v>
          </cell>
          <cell r="D108">
            <v>1</v>
          </cell>
          <cell r="E108">
            <v>25000</v>
          </cell>
          <cell r="F108">
            <v>2000</v>
          </cell>
          <cell r="G108">
            <v>27000</v>
          </cell>
          <cell r="H108" t="str">
            <v>Việt nam</v>
          </cell>
        </row>
        <row r="109">
          <cell r="B109" t="str">
            <v>Phân tích đất</v>
          </cell>
        </row>
        <row r="110">
          <cell r="B110" t="str">
            <v>Cốc nhựa</v>
          </cell>
          <cell r="C110" t="str">
            <v>Cái</v>
          </cell>
          <cell r="D110">
            <v>1</v>
          </cell>
          <cell r="E110">
            <v>53704</v>
          </cell>
          <cell r="F110">
            <v>4296</v>
          </cell>
          <cell r="G110">
            <v>58000</v>
          </cell>
          <cell r="H110" t="str">
            <v>Cốc nhựa PP 500ml Vitalab</v>
          </cell>
        </row>
        <row r="111">
          <cell r="B111" t="str">
            <v>Cốc thủy tinh 1000ml</v>
          </cell>
          <cell r="C111" t="str">
            <v>Cái</v>
          </cell>
          <cell r="D111">
            <v>1</v>
          </cell>
          <cell r="E111">
            <v>64815</v>
          </cell>
          <cell r="F111">
            <v>5185</v>
          </cell>
          <cell r="G111">
            <v>70000</v>
          </cell>
          <cell r="H111" t="str">
            <v>Trung Quốc</v>
          </cell>
        </row>
        <row r="112">
          <cell r="B112" t="str">
            <v>Đũa thủy tinh</v>
          </cell>
          <cell r="C112" t="str">
            <v>Cái</v>
          </cell>
          <cell r="D112">
            <v>1</v>
          </cell>
          <cell r="E112">
            <v>6481</v>
          </cell>
          <cell r="F112">
            <v>519</v>
          </cell>
          <cell r="G112">
            <v>7000</v>
          </cell>
          <cell r="H112" t="str">
            <v>Đũa thủy tinh 7mm x 350mm Genlab - Trung Quốc</v>
          </cell>
        </row>
        <row r="113">
          <cell r="B113" t="str">
            <v>Phễu lọc thủy tinh</v>
          </cell>
          <cell r="C113" t="str">
            <v>Cái</v>
          </cell>
          <cell r="D113">
            <v>1</v>
          </cell>
          <cell r="E113">
            <v>37037</v>
          </cell>
          <cell r="F113">
            <v>2963</v>
          </cell>
          <cell r="G113">
            <v>40000</v>
          </cell>
          <cell r="H113" t="str">
            <v>Phễu thủy tinh 90mm Genlab - Trung Quốc</v>
          </cell>
        </row>
        <row r="114">
          <cell r="B114" t="str">
            <v>Bình thủy tinh 250ml</v>
          </cell>
          <cell r="C114" t="str">
            <v>Cái</v>
          </cell>
          <cell r="D114">
            <v>1</v>
          </cell>
          <cell r="E114">
            <v>46296</v>
          </cell>
          <cell r="F114">
            <v>3704</v>
          </cell>
          <cell r="G114">
            <v>50000</v>
          </cell>
          <cell r="H114" t="str">
            <v>Bình định mức thủy tinh nút nhựa 250 ml Trung Quốc</v>
          </cell>
        </row>
        <row r="115">
          <cell r="B115" t="str">
            <v>Đĩa phơi mẫu</v>
          </cell>
          <cell r="C115" t="str">
            <v>Cái</v>
          </cell>
          <cell r="D115">
            <v>1</v>
          </cell>
          <cell r="E115">
            <v>13889</v>
          </cell>
          <cell r="F115">
            <v>1111</v>
          </cell>
          <cell r="G115">
            <v>15000</v>
          </cell>
          <cell r="H115" t="str">
            <v>Trung Quốc</v>
          </cell>
        </row>
        <row r="116">
          <cell r="B116" t="str">
            <v>Áo blu</v>
          </cell>
          <cell r="C116" t="str">
            <v>Cái</v>
          </cell>
          <cell r="D116">
            <v>1</v>
          </cell>
          <cell r="E116">
            <v>130000</v>
          </cell>
          <cell r="F116">
            <v>12222</v>
          </cell>
          <cell r="G116">
            <v>165000</v>
          </cell>
          <cell r="H116" t="str">
            <v>Vải thô - Việt Nam</v>
          </cell>
        </row>
        <row r="117">
          <cell r="B117" t="str">
            <v>Dép xốp</v>
          </cell>
          <cell r="C117" t="str">
            <v>Đôi</v>
          </cell>
          <cell r="D117">
            <v>1</v>
          </cell>
          <cell r="E117">
            <v>10000</v>
          </cell>
          <cell r="F117">
            <v>3333</v>
          </cell>
          <cell r="G117">
            <v>45000</v>
          </cell>
          <cell r="H117" t="str">
            <v>Nhựa xốp - Việt Nam</v>
          </cell>
        </row>
        <row r="118">
          <cell r="B118" t="str">
            <v>Găng tay</v>
          </cell>
          <cell r="C118" t="str">
            <v>Đôi</v>
          </cell>
          <cell r="D118">
            <v>1</v>
          </cell>
          <cell r="E118">
            <v>6000</v>
          </cell>
          <cell r="F118">
            <v>519</v>
          </cell>
          <cell r="G118">
            <v>7000</v>
          </cell>
          <cell r="H118" t="str">
            <v>Găng tay vải kaki - Việt Nam</v>
          </cell>
        </row>
        <row r="119">
          <cell r="B119" t="str">
            <v>Khẩu trang y tế</v>
          </cell>
          <cell r="C119" t="str">
            <v>Đôi</v>
          </cell>
          <cell r="D119">
            <v>1</v>
          </cell>
          <cell r="E119">
            <v>14815</v>
          </cell>
          <cell r="F119">
            <v>1185</v>
          </cell>
          <cell r="G119">
            <v>16000</v>
          </cell>
          <cell r="H119" t="str">
            <v>Khẩu trang vải - Vinatex - Việt Nam</v>
          </cell>
        </row>
        <row r="120">
          <cell r="B120" t="str">
            <v>Bình thủy tinh 1000ml</v>
          </cell>
          <cell r="C120" t="str">
            <v>Cái</v>
          </cell>
          <cell r="D120">
            <v>1</v>
          </cell>
          <cell r="E120">
            <v>100000</v>
          </cell>
          <cell r="F120">
            <v>8000</v>
          </cell>
          <cell r="G120">
            <v>108000</v>
          </cell>
          <cell r="H120" t="str">
            <v>Bình cầu tròn thủy tinh, cổ không mài 1000 ml - Trung Quốc</v>
          </cell>
        </row>
        <row r="121">
          <cell r="B121" t="str">
            <v>Chai đựng hóa chất</v>
          </cell>
          <cell r="C121" t="str">
            <v>Cái</v>
          </cell>
          <cell r="D121">
            <v>1</v>
          </cell>
          <cell r="E121">
            <v>27778</v>
          </cell>
          <cell r="F121">
            <v>2222</v>
          </cell>
          <cell r="G121">
            <v>30000</v>
          </cell>
          <cell r="H121" t="str">
            <v>Chai thủy tinh nắp vặn 250ml - Trung Quốc</v>
          </cell>
        </row>
        <row r="122">
          <cell r="B122" t="str">
            <v>Micropipet 10ml</v>
          </cell>
          <cell r="C122" t="str">
            <v>Cái</v>
          </cell>
          <cell r="D122">
            <v>1</v>
          </cell>
          <cell r="E122">
            <v>1296296</v>
          </cell>
          <cell r="F122">
            <v>103704</v>
          </cell>
          <cell r="G122">
            <v>1400000</v>
          </cell>
          <cell r="H122" t="str">
            <v>MICROPIPET - PIPET TỰ ĐỘNG 1 KÊNH ISOLAB – ĐỨC</v>
          </cell>
        </row>
        <row r="123">
          <cell r="B123" t="str">
            <v>Pipet 5ml</v>
          </cell>
          <cell r="C123" t="str">
            <v>Cái</v>
          </cell>
          <cell r="D123">
            <v>1</v>
          </cell>
          <cell r="E123">
            <v>29630</v>
          </cell>
          <cell r="F123">
            <v>2370</v>
          </cell>
          <cell r="G123">
            <v>32000</v>
          </cell>
          <cell r="H123" t="str">
            <v>Pipet thủy tinh 5ml Eulab</v>
          </cell>
        </row>
        <row r="124">
          <cell r="B124" t="str">
            <v>Bình định mức 50ml</v>
          </cell>
          <cell r="C124" t="str">
            <v>Cái</v>
          </cell>
          <cell r="D124">
            <v>1</v>
          </cell>
          <cell r="E124">
            <v>33333</v>
          </cell>
          <cell r="F124">
            <v>2667</v>
          </cell>
          <cell r="G124">
            <v>36000</v>
          </cell>
          <cell r="H124" t="str">
            <v>Bình định mức thủy tinh 50 ml (Nâu) - Trung Quốc</v>
          </cell>
        </row>
        <row r="125">
          <cell r="B125" t="str">
            <v>Bình định mức 100ml</v>
          </cell>
          <cell r="C125" t="str">
            <v>Cái</v>
          </cell>
          <cell r="D125">
            <v>1</v>
          </cell>
          <cell r="E125">
            <v>33333</v>
          </cell>
          <cell r="F125">
            <v>2667</v>
          </cell>
          <cell r="G125">
            <v>36000</v>
          </cell>
          <cell r="H125" t="str">
            <v>Bình định mức thủy tinh 100ml Trung Quốc</v>
          </cell>
        </row>
        <row r="126">
          <cell r="B126" t="str">
            <v>Bình định mức 25ml</v>
          </cell>
          <cell r="C126" t="str">
            <v>Cái</v>
          </cell>
          <cell r="D126">
            <v>1</v>
          </cell>
          <cell r="E126">
            <v>26852</v>
          </cell>
          <cell r="F126">
            <v>2148</v>
          </cell>
          <cell r="G126">
            <v>29000</v>
          </cell>
          <cell r="H126" t="str">
            <v>Bình định mức thủy tinh 25 ml (Nâu) Trung Quốc</v>
          </cell>
        </row>
        <row r="127">
          <cell r="B127" t="str">
            <v>Bình định mức 250ml</v>
          </cell>
          <cell r="C127" t="str">
            <v>Cái</v>
          </cell>
          <cell r="D127">
            <v>1</v>
          </cell>
          <cell r="E127">
            <v>46296</v>
          </cell>
          <cell r="F127">
            <v>3704</v>
          </cell>
          <cell r="G127">
            <v>50000</v>
          </cell>
          <cell r="H127" t="str">
            <v>Bình định mức thủy tinh nút nhựa 250 ml Trung Quốc</v>
          </cell>
        </row>
        <row r="128">
          <cell r="B128" t="str">
            <v>Bình định mức 500ml</v>
          </cell>
          <cell r="E128">
            <v>92593</v>
          </cell>
          <cell r="F128">
            <v>7407</v>
          </cell>
          <cell r="G128">
            <v>100000</v>
          </cell>
          <cell r="H128" t="str">
            <v>Bình định mức thủy tinh 500ml Trung Quốc</v>
          </cell>
        </row>
        <row r="129">
          <cell r="B129" t="str">
            <v>Đầu cone 5ml</v>
          </cell>
          <cell r="C129" t="str">
            <v>Cái</v>
          </cell>
          <cell r="D129">
            <v>1</v>
          </cell>
          <cell r="E129">
            <v>926</v>
          </cell>
          <cell r="F129">
            <v>74</v>
          </cell>
          <cell r="G129">
            <v>1000</v>
          </cell>
          <cell r="H129" t="str">
            <v>Nhựa PP trong suốt - Việt Nam</v>
          </cell>
        </row>
        <row r="130">
          <cell r="B130" t="str">
            <v>Đèn Wimax = 200h</v>
          </cell>
          <cell r="C130" t="str">
            <v>Cái</v>
          </cell>
          <cell r="D130">
            <v>1</v>
          </cell>
          <cell r="E130">
            <v>3888889</v>
          </cell>
          <cell r="F130">
            <v>311111</v>
          </cell>
          <cell r="G130">
            <v>4200000</v>
          </cell>
          <cell r="H130" t="str">
            <v>Trung Quốc</v>
          </cell>
        </row>
        <row r="131">
          <cell r="B131" t="str">
            <v>Đèn DI max = 500h</v>
          </cell>
          <cell r="C131" t="str">
            <v>Cái</v>
          </cell>
          <cell r="D131">
            <v>1</v>
          </cell>
          <cell r="E131">
            <v>2777778</v>
          </cell>
          <cell r="F131">
            <v>222222</v>
          </cell>
          <cell r="G131">
            <v>3000000</v>
          </cell>
          <cell r="H131" t="str">
            <v>Trung Quốc</v>
          </cell>
        </row>
        <row r="132">
          <cell r="B132" t="str">
            <v>Cuvet 1cm</v>
          </cell>
          <cell r="C132" t="str">
            <v>Cái</v>
          </cell>
          <cell r="D132">
            <v>1</v>
          </cell>
          <cell r="E132">
            <v>212963</v>
          </cell>
          <cell r="F132">
            <v>17037</v>
          </cell>
          <cell r="G132">
            <v>230000</v>
          </cell>
          <cell r="H132" t="str">
            <v>Cuvet thủy tinh 10mm Genlab - Trung Quốc</v>
          </cell>
        </row>
        <row r="133">
          <cell r="B133" t="str">
            <v>Bình nhựa 2 lít</v>
          </cell>
          <cell r="C133" t="str">
            <v>Cái</v>
          </cell>
          <cell r="D133">
            <v>1</v>
          </cell>
          <cell r="E133">
            <v>4630</v>
          </cell>
          <cell r="F133">
            <v>370</v>
          </cell>
          <cell r="G133">
            <v>5000</v>
          </cell>
          <cell r="H133" t="str">
            <v>Việt Nam</v>
          </cell>
        </row>
        <row r="134">
          <cell r="B134" t="str">
            <v>Bình nhựa 5 lít</v>
          </cell>
          <cell r="C134" t="str">
            <v>Cái</v>
          </cell>
          <cell r="D134">
            <v>1</v>
          </cell>
          <cell r="E134">
            <v>11111</v>
          </cell>
          <cell r="F134">
            <v>889</v>
          </cell>
          <cell r="G134">
            <v>12000</v>
          </cell>
          <cell r="H134" t="str">
            <v>Việt Nam</v>
          </cell>
        </row>
        <row r="135">
          <cell r="B135" t="str">
            <v>Chai nhựa 0,5 lít</v>
          </cell>
          <cell r="C135" t="str">
            <v>Cái</v>
          </cell>
          <cell r="D135">
            <v>1</v>
          </cell>
          <cell r="E135">
            <v>1852</v>
          </cell>
          <cell r="F135">
            <v>148</v>
          </cell>
          <cell r="G135">
            <v>2000</v>
          </cell>
          <cell r="H135" t="str">
            <v>Việt Nam</v>
          </cell>
        </row>
        <row r="136">
          <cell r="B136" t="str">
            <v>Ống trụ 1000ml</v>
          </cell>
          <cell r="C136" t="str">
            <v>Cái</v>
          </cell>
          <cell r="D136">
            <v>1</v>
          </cell>
          <cell r="E136">
            <v>138889</v>
          </cell>
          <cell r="F136">
            <v>11111</v>
          </cell>
          <cell r="G136">
            <v>150000</v>
          </cell>
          <cell r="H136" t="str">
            <v>Trung Quốc</v>
          </cell>
        </row>
        <row r="137">
          <cell r="B137" t="str">
            <v>Ống hút Robinson</v>
          </cell>
          <cell r="C137" t="str">
            <v>Cái</v>
          </cell>
          <cell r="D137">
            <v>1</v>
          </cell>
          <cell r="E137">
            <v>64815</v>
          </cell>
          <cell r="F137">
            <v>5185</v>
          </cell>
          <cell r="G137">
            <v>70000</v>
          </cell>
        </row>
        <row r="138">
          <cell r="B138" t="str">
            <v>Khay đựng mẫu sàng rây</v>
          </cell>
          <cell r="C138" t="str">
            <v>Cái</v>
          </cell>
          <cell r="D138">
            <v>1</v>
          </cell>
          <cell r="E138">
            <v>241667</v>
          </cell>
          <cell r="F138">
            <v>19333</v>
          </cell>
          <cell r="G138">
            <v>261000</v>
          </cell>
          <cell r="H138" t="str">
            <v>Sàng rây phi 200mm Trung Quốc</v>
          </cell>
        </row>
        <row r="139">
          <cell r="B139" t="str">
            <v>Ống nghiệm 25*150</v>
          </cell>
          <cell r="C139" t="str">
            <v>Ống</v>
          </cell>
          <cell r="D139">
            <v>1</v>
          </cell>
          <cell r="E139">
            <v>6944</v>
          </cell>
          <cell r="F139">
            <v>556</v>
          </cell>
          <cell r="G139">
            <v>7500</v>
          </cell>
          <cell r="H139" t="str">
            <v>Genlab - Trung Quốc</v>
          </cell>
        </row>
        <row r="140">
          <cell r="B140" t="str">
            <v>Ống nghiệm không nắp</v>
          </cell>
          <cell r="C140" t="str">
            <v>Ống</v>
          </cell>
          <cell r="D140">
            <v>1</v>
          </cell>
          <cell r="E140">
            <v>6944</v>
          </cell>
          <cell r="F140">
            <v>556</v>
          </cell>
          <cell r="G140">
            <v>7500</v>
          </cell>
          <cell r="H140" t="str">
            <v>Genlab - Trung Quốc</v>
          </cell>
        </row>
        <row r="141">
          <cell r="B141" t="str">
            <v>Ống nghiệm có nắp</v>
          </cell>
          <cell r="C141" t="str">
            <v>Ống</v>
          </cell>
          <cell r="D141">
            <v>1</v>
          </cell>
          <cell r="E141">
            <v>8333</v>
          </cell>
          <cell r="F141">
            <v>667</v>
          </cell>
          <cell r="G141">
            <v>9000</v>
          </cell>
          <cell r="H141" t="str">
            <v>16x160mm Genlab - Trung Quốc</v>
          </cell>
        </row>
        <row r="142">
          <cell r="B142" t="str">
            <v>Đầu cone 1ml</v>
          </cell>
          <cell r="C142" t="str">
            <v>Cái</v>
          </cell>
          <cell r="D142">
            <v>1</v>
          </cell>
          <cell r="E142">
            <v>185</v>
          </cell>
          <cell r="F142">
            <v>15</v>
          </cell>
          <cell r="G142">
            <v>200</v>
          </cell>
          <cell r="H142" t="str">
            <v>Nhựa PP - Việt Nam</v>
          </cell>
        </row>
        <row r="143">
          <cell r="B143" t="str">
            <v>Bình tam giác 250ml</v>
          </cell>
          <cell r="C143" t="str">
            <v>Cái</v>
          </cell>
          <cell r="D143">
            <v>1</v>
          </cell>
          <cell r="E143">
            <v>45370</v>
          </cell>
          <cell r="F143">
            <v>3630</v>
          </cell>
          <cell r="G143">
            <v>49000</v>
          </cell>
          <cell r="H143" t="str">
            <v>Bình tam giác MH 250ml Genlab - Trung Quốc</v>
          </cell>
        </row>
        <row r="144">
          <cell r="B144" t="str">
            <v>Micropipet 1ml</v>
          </cell>
          <cell r="C144" t="str">
            <v>Cái</v>
          </cell>
          <cell r="D144">
            <v>1</v>
          </cell>
          <cell r="E144">
            <v>900000</v>
          </cell>
          <cell r="F144">
            <v>72000</v>
          </cell>
          <cell r="G144">
            <v>972000</v>
          </cell>
          <cell r="H144" t="str">
            <v>Scilogex - Trung Quốc</v>
          </cell>
        </row>
        <row r="145">
          <cell r="B145" t="str">
            <v>Pipet 10ml</v>
          </cell>
          <cell r="C145" t="str">
            <v>Cái</v>
          </cell>
          <cell r="D145">
            <v>1</v>
          </cell>
          <cell r="E145">
            <v>33333</v>
          </cell>
          <cell r="F145">
            <v>2667</v>
          </cell>
          <cell r="G145">
            <v>36000</v>
          </cell>
          <cell r="H145" t="str">
            <v>Eulab</v>
          </cell>
        </row>
        <row r="146">
          <cell r="B146" t="str">
            <v>Cốc thủy tinh</v>
          </cell>
          <cell r="C146" t="str">
            <v>Cái</v>
          </cell>
          <cell r="D146">
            <v>1</v>
          </cell>
          <cell r="E146">
            <v>14815</v>
          </cell>
          <cell r="F146">
            <v>1185</v>
          </cell>
          <cell r="G146">
            <v>16000</v>
          </cell>
          <cell r="H146" t="str">
            <v>Genlab - Trung Quốc</v>
          </cell>
        </row>
        <row r="147">
          <cell r="B147" t="str">
            <v>Cuvet Graphit</v>
          </cell>
          <cell r="C147" t="str">
            <v>Cái</v>
          </cell>
          <cell r="D147">
            <v>1</v>
          </cell>
          <cell r="E147">
            <v>1203704</v>
          </cell>
          <cell r="F147">
            <v>96296</v>
          </cell>
          <cell r="G147">
            <v>1300000</v>
          </cell>
          <cell r="H147" t="str">
            <v>Trung Quốc</v>
          </cell>
        </row>
        <row r="148">
          <cell r="B148" t="str">
            <v>Đèn D2</v>
          </cell>
          <cell r="C148" t="str">
            <v>Cái</v>
          </cell>
          <cell r="D148">
            <v>1</v>
          </cell>
          <cell r="E148">
            <v>3240741</v>
          </cell>
          <cell r="F148">
            <v>259259</v>
          </cell>
          <cell r="G148">
            <v>3500000</v>
          </cell>
          <cell r="H148" t="str">
            <v>Hitachi Deuterium Lamp for LC - 885-3570</v>
          </cell>
        </row>
        <row r="149">
          <cell r="B149" t="str">
            <v>Đèn Tungsten</v>
          </cell>
          <cell r="C149" t="str">
            <v>Cái</v>
          </cell>
          <cell r="D149">
            <v>1</v>
          </cell>
          <cell r="E149">
            <v>4166667</v>
          </cell>
          <cell r="F149">
            <v>333333</v>
          </cell>
          <cell r="G149">
            <v>4500000</v>
          </cell>
          <cell r="H149" t="str">
            <v>Đèn Tungsten Halogen cho máy quang phổ UVD-3000 and UVD-3200 Labomed W3200</v>
          </cell>
        </row>
        <row r="150">
          <cell r="B150" t="str">
            <v>Đèn HCL</v>
          </cell>
          <cell r="C150" t="str">
            <v>Cái</v>
          </cell>
          <cell r="D150">
            <v>1</v>
          </cell>
          <cell r="E150">
            <v>3240741</v>
          </cell>
          <cell r="F150">
            <v>259259</v>
          </cell>
          <cell r="G150">
            <v>3500000</v>
          </cell>
          <cell r="H150" t="str">
            <v>Đèn catot rỗng Sodium Cathode lamp (37mm hoặc 1.5”) Hollow
Model: P851 (Na)</v>
          </cell>
        </row>
        <row r="151">
          <cell r="B151" t="str">
            <v>Bình định mức 1000ml</v>
          </cell>
          <cell r="C151" t="str">
            <v>Cái</v>
          </cell>
          <cell r="D151">
            <v>1</v>
          </cell>
          <cell r="E151">
            <v>64815</v>
          </cell>
          <cell r="F151">
            <v>5185</v>
          </cell>
          <cell r="G151">
            <v>70000</v>
          </cell>
          <cell r="H151" t="str">
            <v>Bình định mức 1000 ml (Nâu) Trung Quốc</v>
          </cell>
        </row>
        <row r="152">
          <cell r="B152" t="str">
            <v>Cuvet thạch anh cho FIAS</v>
          </cell>
          <cell r="C152" t="str">
            <v>Cái</v>
          </cell>
          <cell r="D152">
            <v>1</v>
          </cell>
          <cell r="E152">
            <v>1851852</v>
          </cell>
          <cell r="F152">
            <v>148148</v>
          </cell>
          <cell r="G152">
            <v>2000000</v>
          </cell>
          <cell r="H152" t="str">
            <v>HELLMA - Đức</v>
          </cell>
        </row>
        <row r="153">
          <cell r="B153" t="str">
            <v>Màng lọc cho FIAS</v>
          </cell>
          <cell r="C153" t="str">
            <v>Cái</v>
          </cell>
          <cell r="D153">
            <v>1</v>
          </cell>
          <cell r="E153">
            <v>185185</v>
          </cell>
          <cell r="F153">
            <v>14815</v>
          </cell>
          <cell r="G153">
            <v>200000</v>
          </cell>
          <cell r="H153" t="str">
            <v>Trung Quốc</v>
          </cell>
        </row>
        <row r="154">
          <cell r="B154" t="str">
            <v>Đèn EDL</v>
          </cell>
          <cell r="C154" t="str">
            <v>Cái</v>
          </cell>
          <cell r="D154">
            <v>1</v>
          </cell>
          <cell r="E154">
            <v>3240741</v>
          </cell>
          <cell r="F154">
            <v>259259</v>
          </cell>
          <cell r="G154">
            <v>3500000</v>
          </cell>
          <cell r="H154" t="str">
            <v>Nhật Bản</v>
          </cell>
        </row>
        <row r="155">
          <cell r="B155" t="str">
            <v>Bình nhựa 0,5 lít</v>
          </cell>
          <cell r="C155" t="str">
            <v>Cái</v>
          </cell>
          <cell r="D155">
            <v>1</v>
          </cell>
          <cell r="E155">
            <v>1852</v>
          </cell>
          <cell r="F155">
            <v>148</v>
          </cell>
          <cell r="G155">
            <v>2000</v>
          </cell>
          <cell r="H155" t="str">
            <v>Việt Nam</v>
          </cell>
        </row>
        <row r="156">
          <cell r="B156" t="str">
            <v>Cột sắc ký thủy tinh</v>
          </cell>
          <cell r="C156" t="str">
            <v>Cái</v>
          </cell>
          <cell r="D156">
            <v>1</v>
          </cell>
          <cell r="E156">
            <v>1574074</v>
          </cell>
          <cell r="F156">
            <v>125926</v>
          </cell>
          <cell r="G156">
            <v>1700000</v>
          </cell>
          <cell r="H156" t="str">
            <v>Cột sắc ký thủy tinh đường kính 15 mm Isolab- Đức</v>
          </cell>
        </row>
        <row r="157">
          <cell r="B157" t="str">
            <v>Cột tách mao quản</v>
          </cell>
          <cell r="C157" t="str">
            <v>Cái</v>
          </cell>
          <cell r="D157">
            <v>1</v>
          </cell>
          <cell r="E157">
            <v>92593</v>
          </cell>
          <cell r="F157">
            <v>7407</v>
          </cell>
          <cell r="G157">
            <v>100000</v>
          </cell>
          <cell r="H157" t="str">
            <v>Trung Quốc</v>
          </cell>
        </row>
        <row r="158">
          <cell r="B158" t="str">
            <v>Phễu chiết 500ml</v>
          </cell>
          <cell r="C158" t="str">
            <v>Cái</v>
          </cell>
          <cell r="D158">
            <v>1</v>
          </cell>
          <cell r="E158">
            <v>138889</v>
          </cell>
          <cell r="F158">
            <v>11111</v>
          </cell>
          <cell r="G158">
            <v>150000</v>
          </cell>
          <cell r="H158" t="str">
            <v>Trung Quốc</v>
          </cell>
        </row>
        <row r="159">
          <cell r="B159" t="str">
            <v>Phễu chiết 1000ml</v>
          </cell>
          <cell r="C159" t="str">
            <v>Cái</v>
          </cell>
          <cell r="D159">
            <v>1</v>
          </cell>
          <cell r="E159">
            <v>231481</v>
          </cell>
          <cell r="F159">
            <v>18519</v>
          </cell>
          <cell r="G159">
            <v>250000</v>
          </cell>
          <cell r="H159" t="str">
            <v>Trung Quốc</v>
          </cell>
        </row>
        <row r="160">
          <cell r="B160" t="str">
            <v>Micropipet 5ml</v>
          </cell>
          <cell r="C160" t="str">
            <v>Cái</v>
          </cell>
          <cell r="D160">
            <v>1</v>
          </cell>
          <cell r="E160">
            <v>1805556</v>
          </cell>
          <cell r="F160">
            <v>144444</v>
          </cell>
          <cell r="G160">
            <v>1950000</v>
          </cell>
          <cell r="H160" t="str">
            <v>MICROPIPET - PIPET TỰ ĐỘNG 1 KÊNH ISOLAB – ĐỨC</v>
          </cell>
        </row>
        <row r="161">
          <cell r="B161" t="str">
            <v>Kim tiêm mẫu (syringe 10uL)</v>
          </cell>
          <cell r="C161" t="str">
            <v>Cái</v>
          </cell>
          <cell r="D161">
            <v>1</v>
          </cell>
          <cell r="E161">
            <v>138889</v>
          </cell>
          <cell r="F161">
            <v>11111</v>
          </cell>
          <cell r="G161">
            <v>150000</v>
          </cell>
          <cell r="H161" t="str">
            <v>Trung Quốc</v>
          </cell>
        </row>
        <row r="162">
          <cell r="B162" t="str">
            <v>Chai BOD</v>
          </cell>
          <cell r="C162" t="str">
            <v>Cái</v>
          </cell>
          <cell r="D162">
            <v>1</v>
          </cell>
          <cell r="E162">
            <v>262037</v>
          </cell>
          <cell r="F162">
            <v>20963</v>
          </cell>
          <cell r="G162">
            <v>283000</v>
          </cell>
          <cell r="H162" t="str">
            <v>Chai BOD nắp nhựa 300ml Borosil - Ấn Độ</v>
          </cell>
        </row>
        <row r="163">
          <cell r="B163" t="str">
            <v>Bộ sục khí</v>
          </cell>
          <cell r="C163" t="str">
            <v>Bộ</v>
          </cell>
          <cell r="D163">
            <v>1</v>
          </cell>
          <cell r="E163">
            <v>821296</v>
          </cell>
          <cell r="F163">
            <v>65704</v>
          </cell>
          <cell r="G163">
            <v>887000</v>
          </cell>
          <cell r="H163" t="str">
            <v>Bình rửa khí 500ml Simax - Séc</v>
          </cell>
        </row>
        <row r="164">
          <cell r="B164" t="str">
            <v>Chai bảo quản dung dịch</v>
          </cell>
          <cell r="C164" t="str">
            <v>Cái</v>
          </cell>
          <cell r="D164">
            <v>1</v>
          </cell>
          <cell r="E164">
            <v>27778</v>
          </cell>
          <cell r="F164">
            <v>2222</v>
          </cell>
          <cell r="G164">
            <v>30000</v>
          </cell>
          <cell r="H164" t="str">
            <v>Chai thủy tinh nắp vặn 250ml - Trung Quốc</v>
          </cell>
        </row>
        <row r="165">
          <cell r="B165" t="str">
            <v>Xô chứa dung dịch sục khí</v>
          </cell>
          <cell r="C165" t="str">
            <v>Cái</v>
          </cell>
          <cell r="D165">
            <v>1</v>
          </cell>
          <cell r="E165">
            <v>18519</v>
          </cell>
          <cell r="F165">
            <v>1481</v>
          </cell>
          <cell r="G165">
            <v>20000</v>
          </cell>
          <cell r="H165" t="str">
            <v>Việt Nam</v>
          </cell>
        </row>
        <row r="166">
          <cell r="B166" t="str">
            <v>Đầu điện cực</v>
          </cell>
          <cell r="C166" t="str">
            <v>Cái</v>
          </cell>
          <cell r="D166">
            <v>1</v>
          </cell>
          <cell r="E166">
            <v>1322222</v>
          </cell>
          <cell r="F166">
            <v>105778</v>
          </cell>
          <cell r="G166">
            <v>1428000</v>
          </cell>
          <cell r="H166" t="str">
            <v>Điện cực pH PE03 (PP5003) Trans Instruments - Singapore</v>
          </cell>
        </row>
        <row r="167">
          <cell r="B167" t="str">
            <v>Ống phá mẫu có nắp kín</v>
          </cell>
          <cell r="C167" t="str">
            <v>Cái</v>
          </cell>
          <cell r="D167">
            <v>1</v>
          </cell>
          <cell r="E167">
            <v>8333</v>
          </cell>
          <cell r="F167">
            <v>667</v>
          </cell>
          <cell r="G167">
            <v>9000</v>
          </cell>
          <cell r="H167" t="str">
            <v>Trung Quốc</v>
          </cell>
        </row>
        <row r="168">
          <cell r="B168" t="str">
            <v>Burret chuẩn độ tự động</v>
          </cell>
          <cell r="C168" t="str">
            <v>Cái</v>
          </cell>
          <cell r="D168">
            <v>1</v>
          </cell>
          <cell r="E168">
            <v>106481</v>
          </cell>
          <cell r="F168">
            <v>8519</v>
          </cell>
          <cell r="G168">
            <v>115000</v>
          </cell>
          <cell r="H168" t="str">
            <v>Burette trắng khóa thủy tinh 25ml Genlab - Trung Quốc</v>
          </cell>
        </row>
        <row r="169">
          <cell r="B169" t="str">
            <v>Bình nhỏ giọt</v>
          </cell>
          <cell r="C169" t="str">
            <v>Cái</v>
          </cell>
          <cell r="D169">
            <v>1</v>
          </cell>
          <cell r="E169">
            <v>23148</v>
          </cell>
          <cell r="F169">
            <v>1852</v>
          </cell>
          <cell r="G169">
            <v>25000</v>
          </cell>
          <cell r="H169" t="str">
            <v>Chai nhỏ giọt trắng 60ml Genlab - Trung Quốc</v>
          </cell>
        </row>
        <row r="170">
          <cell r="B170" t="str">
            <v>Bình chưng cất</v>
          </cell>
          <cell r="C170" t="str">
            <v>Cái</v>
          </cell>
          <cell r="D170">
            <v>1</v>
          </cell>
          <cell r="E170">
            <v>231481</v>
          </cell>
          <cell r="F170">
            <v>18519</v>
          </cell>
          <cell r="G170">
            <v>250000</v>
          </cell>
          <cell r="H170" t="str">
            <v>Pyrex-USA</v>
          </cell>
        </row>
        <row r="171">
          <cell r="B171" t="str">
            <v>Ống chứa mẫu 15ml (có nắp)</v>
          </cell>
          <cell r="C171" t="str">
            <v>Cái</v>
          </cell>
          <cell r="D171">
            <v>1</v>
          </cell>
          <cell r="E171">
            <v>3241</v>
          </cell>
          <cell r="F171">
            <v>259</v>
          </cell>
          <cell r="G171">
            <v>3500</v>
          </cell>
          <cell r="H171" t="str">
            <v>Ống ly tâm nắp vặn 15ml Mida - Việt Nam</v>
          </cell>
        </row>
        <row r="172">
          <cell r="B172" t="str">
            <v>Cái lọc</v>
          </cell>
          <cell r="C172" t="str">
            <v>Cái</v>
          </cell>
          <cell r="D172">
            <v>1</v>
          </cell>
          <cell r="E172">
            <v>46296</v>
          </cell>
          <cell r="F172">
            <v>3704</v>
          </cell>
          <cell r="G172">
            <v>50000</v>
          </cell>
          <cell r="H172" t="str">
            <v>Việt Nam</v>
          </cell>
        </row>
        <row r="173">
          <cell r="B173" t="str">
            <v>Ống hút</v>
          </cell>
          <cell r="C173" t="str">
            <v>Cái</v>
          </cell>
          <cell r="D173">
            <v>1</v>
          </cell>
          <cell r="E173">
            <v>11111</v>
          </cell>
          <cell r="F173">
            <v>889</v>
          </cell>
          <cell r="G173">
            <v>12000</v>
          </cell>
          <cell r="H173" t="str">
            <v>Việt Nam</v>
          </cell>
        </row>
        <row r="174">
          <cell r="B174" t="str">
            <v>Ống đong 250ml</v>
          </cell>
          <cell r="C174" t="str">
            <v>Cái</v>
          </cell>
          <cell r="D174">
            <v>1</v>
          </cell>
          <cell r="E174">
            <v>76852</v>
          </cell>
          <cell r="F174">
            <v>6148</v>
          </cell>
          <cell r="G174">
            <v>83000</v>
          </cell>
          <cell r="H174" t="str">
            <v>Ống đong thủy tinh 250ml Genlab - Trung Quốc</v>
          </cell>
        </row>
        <row r="175">
          <cell r="B175" t="str">
            <v>Bình tia</v>
          </cell>
          <cell r="C175" t="str">
            <v>Cái</v>
          </cell>
          <cell r="D175">
            <v>1</v>
          </cell>
          <cell r="E175">
            <v>11111</v>
          </cell>
          <cell r="F175">
            <v>889</v>
          </cell>
          <cell r="G175">
            <v>12000</v>
          </cell>
          <cell r="H175" t="str">
            <v>Bình tia nhựa 250ml Genlab - Trung Quốc</v>
          </cell>
        </row>
        <row r="176">
          <cell r="B176" t="str">
            <v>Bình tam giác 500ml</v>
          </cell>
          <cell r="C176" t="str">
            <v>Cái</v>
          </cell>
          <cell r="D176">
            <v>1</v>
          </cell>
          <cell r="E176">
            <v>40278</v>
          </cell>
          <cell r="F176">
            <v>3222</v>
          </cell>
          <cell r="G176">
            <v>43500</v>
          </cell>
          <cell r="H176" t="str">
            <v>Bình tam giác MH 500ml Genlab - Trung Quốc</v>
          </cell>
        </row>
        <row r="177">
          <cell r="B177" t="str">
            <v>Thiết bị</v>
          </cell>
          <cell r="E177">
            <v>0</v>
          </cell>
          <cell r="F177">
            <v>0</v>
          </cell>
          <cell r="G177">
            <v>0</v>
          </cell>
        </row>
        <row r="178">
          <cell r="B178" t="str">
            <v>Tủ sấy</v>
          </cell>
          <cell r="C178" t="str">
            <v>Cái</v>
          </cell>
          <cell r="D178">
            <v>1</v>
          </cell>
          <cell r="E178">
            <v>6759259</v>
          </cell>
          <cell r="F178">
            <v>540741</v>
          </cell>
          <cell r="G178">
            <v>7300000</v>
          </cell>
          <cell r="H178" t="str">
            <v>Tủ sấy China 101-1A (70 lít ) - Trung Quốc</v>
          </cell>
        </row>
        <row r="179">
          <cell r="B179" t="str">
            <v>Bình hút ẩm</v>
          </cell>
          <cell r="C179" t="str">
            <v>Cái</v>
          </cell>
          <cell r="D179">
            <v>1</v>
          </cell>
          <cell r="E179">
            <v>1231482</v>
          </cell>
          <cell r="F179">
            <v>98518</v>
          </cell>
          <cell r="G179">
            <v>1330000</v>
          </cell>
          <cell r="H179" t="str">
            <v>Bình hút ẩm có vòi phi 240mm Genlab - Trung Quốc</v>
          </cell>
        </row>
        <row r="180">
          <cell r="B180" t="str">
            <v>Cân phân tích</v>
          </cell>
          <cell r="C180" t="str">
            <v>Cái</v>
          </cell>
          <cell r="D180">
            <v>1</v>
          </cell>
          <cell r="E180">
            <v>20000000</v>
          </cell>
          <cell r="F180">
            <v>1600000</v>
          </cell>
          <cell r="G180">
            <v>21600000</v>
          </cell>
          <cell r="H180" t="str">
            <v>Cân phân tích (110g - 0,001g) LSAB-A10 Labtron</v>
          </cell>
        </row>
        <row r="181">
          <cell r="B181" t="str">
            <v>Thiết bị phá mẫu</v>
          </cell>
          <cell r="C181" t="str">
            <v>Bộ</v>
          </cell>
          <cell r="D181">
            <v>1</v>
          </cell>
          <cell r="E181">
            <v>31481482</v>
          </cell>
          <cell r="F181">
            <v>2518518</v>
          </cell>
          <cell r="G181">
            <v>34000000</v>
          </cell>
          <cell r="H181" t="str">
            <v>Máy phá mẫu COD HI839800 Hanna - Ý</v>
          </cell>
        </row>
        <row r="182">
          <cell r="B182" t="str">
            <v>Thiết bị lọc nước siêu sạch</v>
          </cell>
          <cell r="C182" t="str">
            <v>Bộ</v>
          </cell>
          <cell r="D182">
            <v>1</v>
          </cell>
          <cell r="E182">
            <v>99537039</v>
          </cell>
          <cell r="F182">
            <v>7962961</v>
          </cell>
          <cell r="G182">
            <v>107500000</v>
          </cell>
          <cell r="H182" t="str">
            <v>Máy lọc nước siêu tinh khiết Elix® Essential 3 Merck - Đức</v>
          </cell>
        </row>
        <row r="183">
          <cell r="B183" t="str">
            <v>Máy khuấy từ</v>
          </cell>
          <cell r="C183" t="str">
            <v>Cái</v>
          </cell>
          <cell r="D183">
            <v>1</v>
          </cell>
          <cell r="E183">
            <v>2870370</v>
          </cell>
          <cell r="F183">
            <v>229630</v>
          </cell>
          <cell r="G183">
            <v>3100000</v>
          </cell>
          <cell r="H183" t="str">
            <v>Máy khuấy từ gia nhiệt China 85-2, 300W (2400 vòng/phút) - Trung Quốc</v>
          </cell>
        </row>
        <row r="184">
          <cell r="B184" t="str">
            <v>pH mette (thiết bị đo pH)</v>
          </cell>
          <cell r="C184" t="str">
            <v>Bộ</v>
          </cell>
          <cell r="D184">
            <v>1</v>
          </cell>
          <cell r="E184">
            <v>3009259</v>
          </cell>
          <cell r="F184">
            <v>240741</v>
          </cell>
          <cell r="G184">
            <v>3250000</v>
          </cell>
          <cell r="H184" t="str">
            <v>Máy đo độ pH cho đất PCE -PH20S - Đài Loan</v>
          </cell>
        </row>
        <row r="185">
          <cell r="B185" t="str">
            <v>Máy quang phổ UV-VIS</v>
          </cell>
          <cell r="C185" t="str">
            <v>Bộ</v>
          </cell>
          <cell r="D185">
            <v>1</v>
          </cell>
          <cell r="E185">
            <v>185185189</v>
          </cell>
          <cell r="F185">
            <v>14814811</v>
          </cell>
          <cell r="G185">
            <v>200000000</v>
          </cell>
          <cell r="H185" t="str">
            <v>CE 4002 Cecil - Anh</v>
          </cell>
        </row>
        <row r="186">
          <cell r="B186" t="str">
            <v>Bộ rây mẫu tiêu chuẩn</v>
          </cell>
          <cell r="C186" t="str">
            <v>Bộ</v>
          </cell>
          <cell r="D186">
            <v>1</v>
          </cell>
          <cell r="E186">
            <v>185185</v>
          </cell>
          <cell r="F186">
            <v>14815</v>
          </cell>
          <cell r="G186">
            <v>200000</v>
          </cell>
          <cell r="H186" t="str">
            <v>Natraco - Trung Quốc</v>
          </cell>
        </row>
        <row r="187">
          <cell r="B187" t="str">
            <v>Thiết bị chưng cất</v>
          </cell>
          <cell r="C187" t="str">
            <v>Bộ</v>
          </cell>
          <cell r="D187">
            <v>1</v>
          </cell>
          <cell r="E187">
            <v>45000001</v>
          </cell>
          <cell r="F187">
            <v>3599999</v>
          </cell>
          <cell r="G187">
            <v>48600000</v>
          </cell>
          <cell r="H187" t="str">
            <v>Máy cô quay chân không RE100-Pro Scilogex - Mỹ</v>
          </cell>
        </row>
        <row r="188">
          <cell r="B188" t="str">
            <v>Tủ lạnh lưu chất chuẩn</v>
          </cell>
          <cell r="C188" t="str">
            <v>Cái</v>
          </cell>
          <cell r="D188">
            <v>1</v>
          </cell>
          <cell r="E188">
            <v>17592593</v>
          </cell>
          <cell r="F188">
            <v>1407407</v>
          </cell>
          <cell r="G188">
            <v>19000000</v>
          </cell>
          <cell r="H188" t="str">
            <v>Tủ lạnh HYC-48 MRC</v>
          </cell>
        </row>
        <row r="189">
          <cell r="B189" t="str">
            <v>Máy cất Nitơ</v>
          </cell>
          <cell r="C189" t="str">
            <v>Cái</v>
          </cell>
          <cell r="D189">
            <v>1</v>
          </cell>
          <cell r="E189">
            <v>36111112</v>
          </cell>
          <cell r="F189">
            <v>2888888</v>
          </cell>
          <cell r="G189">
            <v>39000000</v>
          </cell>
          <cell r="H189" t="str">
            <v>Trung Quốc</v>
          </cell>
        </row>
        <row r="190">
          <cell r="B190" t="str">
            <v>Máy quang kế ngọn lửa</v>
          </cell>
          <cell r="C190" t="str">
            <v>Bộ</v>
          </cell>
          <cell r="D190">
            <v>1</v>
          </cell>
          <cell r="E190">
            <v>38888890</v>
          </cell>
          <cell r="F190">
            <v>3111110</v>
          </cell>
          <cell r="G190">
            <v>42000000</v>
          </cell>
          <cell r="H190" t="str">
            <v>Quang kế ngọn lửa Trung Quốc - FP-640</v>
          </cell>
        </row>
        <row r="191">
          <cell r="B191" t="str">
            <v>Tủ hút</v>
          </cell>
          <cell r="C191" t="str">
            <v>Cái</v>
          </cell>
          <cell r="D191">
            <v>1</v>
          </cell>
          <cell r="E191">
            <v>46296297</v>
          </cell>
          <cell r="F191">
            <v>3703703</v>
          </cell>
          <cell r="G191">
            <v>50000000</v>
          </cell>
          <cell r="H191" t="str">
            <v>Sugol</v>
          </cell>
        </row>
        <row r="192">
          <cell r="B192" t="str">
            <v>Lò vi sóng</v>
          </cell>
          <cell r="C192" t="str">
            <v>Cái</v>
          </cell>
          <cell r="D192">
            <v>1</v>
          </cell>
          <cell r="E192">
            <v>2675926</v>
          </cell>
          <cell r="F192">
            <v>214074</v>
          </cell>
          <cell r="G192">
            <v>2890000</v>
          </cell>
          <cell r="H192" t="str">
            <v>Lò vi sóng Panasonic NN-ST34HMYUE - 25 lít - Trung Quốc</v>
          </cell>
        </row>
        <row r="193">
          <cell r="B193" t="str">
            <v>Máy quang phổ hấp AAS</v>
          </cell>
          <cell r="C193" t="str">
            <v>Bộ</v>
          </cell>
          <cell r="D193">
            <v>1</v>
          </cell>
          <cell r="E193">
            <v>361111118</v>
          </cell>
          <cell r="F193">
            <v>28888882</v>
          </cell>
          <cell r="G193">
            <v>390000000</v>
          </cell>
          <cell r="H193" t="str">
            <v>Máy quang phổ hấp thụ nguyên tử LAAS-A20 LABTRON - Anh</v>
          </cell>
        </row>
        <row r="194">
          <cell r="B194" t="str">
            <v>Bộ phân tích thủy ngân và asen MHS hoặc FIAS</v>
          </cell>
          <cell r="C194" t="str">
            <v>Bộ</v>
          </cell>
          <cell r="D194">
            <v>1</v>
          </cell>
          <cell r="E194">
            <v>32407408</v>
          </cell>
          <cell r="F194">
            <v>2592592</v>
          </cell>
          <cell r="G194">
            <v>35000000</v>
          </cell>
          <cell r="H194" t="str">
            <v>HG 131 - Hiranuama - Nhật Bản</v>
          </cell>
        </row>
        <row r="195">
          <cell r="B195" t="str">
            <v>Bộ Soxlel</v>
          </cell>
          <cell r="C195" t="str">
            <v>Bộ</v>
          </cell>
          <cell r="D195">
            <v>1</v>
          </cell>
          <cell r="E195">
            <v>37037038</v>
          </cell>
          <cell r="F195">
            <v>2962962</v>
          </cell>
          <cell r="G195">
            <v>40000000</v>
          </cell>
          <cell r="H195" t="str">
            <v>- KC 8/460</v>
          </cell>
        </row>
        <row r="196">
          <cell r="B196" t="str">
            <v>Máy cất cô chân không</v>
          </cell>
          <cell r="C196" t="str">
            <v>Bộ</v>
          </cell>
          <cell r="D196">
            <v>1</v>
          </cell>
          <cell r="E196">
            <v>46296297</v>
          </cell>
          <cell r="F196">
            <v>3703703</v>
          </cell>
          <cell r="G196">
            <v>50000000</v>
          </cell>
          <cell r="H196" t="str">
            <v>Máy cô quay chân không RE100-Pro Scilogex</v>
          </cell>
        </row>
        <row r="197">
          <cell r="B197" t="str">
            <v>Bể ổn định nhiệt</v>
          </cell>
          <cell r="C197" t="str">
            <v>Bộ</v>
          </cell>
          <cell r="D197">
            <v>1</v>
          </cell>
          <cell r="E197">
            <v>6481482</v>
          </cell>
          <cell r="F197">
            <v>518518</v>
          </cell>
          <cell r="G197">
            <v>7000000</v>
          </cell>
          <cell r="H197" t="str">
            <v>Dung tích: 20 lít - Trung Quốc</v>
          </cell>
        </row>
        <row r="198">
          <cell r="B198" t="str">
            <v>Bể siêu âm</v>
          </cell>
          <cell r="C198" t="str">
            <v>Bộ</v>
          </cell>
          <cell r="D198">
            <v>1</v>
          </cell>
          <cell r="E198">
            <v>11574074</v>
          </cell>
          <cell r="F198">
            <v>925926</v>
          </cell>
          <cell r="G198">
            <v>12500000</v>
          </cell>
          <cell r="H198" t="str">
            <v>Elmasonic S30 - Đức - 2,75 lít</v>
          </cell>
        </row>
        <row r="199">
          <cell r="B199" t="str">
            <v>Bơm chân không</v>
          </cell>
          <cell r="C199" t="str">
            <v>Bộ</v>
          </cell>
          <cell r="D199">
            <v>1</v>
          </cell>
          <cell r="E199">
            <v>2314815</v>
          </cell>
          <cell r="F199">
            <v>185185</v>
          </cell>
          <cell r="G199">
            <v>2500000</v>
          </cell>
          <cell r="H199" t="str">
            <v>Bơm chân không VE115, 1/4HP, 42 lít./ phút - Trung Quốc</v>
          </cell>
        </row>
        <row r="200">
          <cell r="B200" t="str">
            <v>Máy sắc ký khí GC</v>
          </cell>
          <cell r="C200" t="str">
            <v>Bộ</v>
          </cell>
          <cell r="D200">
            <v>1</v>
          </cell>
          <cell r="E200">
            <v>7962963118</v>
          </cell>
          <cell r="F200">
            <v>637036882</v>
          </cell>
          <cell r="G200">
            <v>8600000000</v>
          </cell>
          <cell r="H200" t="str">
            <v>Hãng sản xuất: Waters - Mỹ</v>
          </cell>
        </row>
        <row r="201">
          <cell r="B201" t="str">
            <v>Máy cô Nitơ</v>
          </cell>
          <cell r="C201" t="str">
            <v>Bộ</v>
          </cell>
          <cell r="D201">
            <v>1</v>
          </cell>
          <cell r="E201">
            <v>135185188</v>
          </cell>
          <cell r="F201">
            <v>10814812</v>
          </cell>
          <cell r="G201">
            <v>146000000</v>
          </cell>
          <cell r="H201" t="str">
            <v>Máy chưng cất đạm Kjeldahl bán tự động Pro-Nitro M - J.P.Selecta - Tây Ban Nha</v>
          </cell>
        </row>
        <row r="202">
          <cell r="B202" t="str">
            <v>Máy cắt quay chân không</v>
          </cell>
          <cell r="C202" t="str">
            <v>Bộ</v>
          </cell>
          <cell r="D202">
            <v>1</v>
          </cell>
          <cell r="E202">
            <v>46296297</v>
          </cell>
          <cell r="F202">
            <v>3703703</v>
          </cell>
          <cell r="G202">
            <v>50000000</v>
          </cell>
          <cell r="H202" t="str">
            <v>Máy cô quay chân không RE100-Pro Scilogex</v>
          </cell>
        </row>
        <row r="203">
          <cell r="B203" t="str">
            <v>Máy phân tích quang phổ AAS hoặc cực phổ</v>
          </cell>
          <cell r="C203" t="str">
            <v>Bộ</v>
          </cell>
          <cell r="D203">
            <v>1</v>
          </cell>
          <cell r="E203">
            <v>2351851898</v>
          </cell>
          <cell r="F203">
            <v>188148102</v>
          </cell>
          <cell r="G203">
            <v>2540000000</v>
          </cell>
          <cell r="H203" t="str">
            <v>Cotr AA 700 BU - Đức</v>
          </cell>
        </row>
        <row r="204">
          <cell r="B204" t="str">
            <v>Tủ ủ BOD</v>
          </cell>
          <cell r="C204" t="str">
            <v>Cái</v>
          </cell>
          <cell r="D204">
            <v>1</v>
          </cell>
          <cell r="E204">
            <v>32407408</v>
          </cell>
          <cell r="F204">
            <v>2592592</v>
          </cell>
          <cell r="G204">
            <v>35000000</v>
          </cell>
          <cell r="H204" t="str">
            <v>Tủ Ấm Memmert IN75 (74 lít)</v>
          </cell>
        </row>
        <row r="205">
          <cell r="B205" t="str">
            <v>Thiết bị phản ứng COD</v>
          </cell>
          <cell r="C205" t="str">
            <v>Bộ</v>
          </cell>
          <cell r="D205">
            <v>1</v>
          </cell>
          <cell r="E205">
            <v>16666667</v>
          </cell>
          <cell r="F205">
            <v>1333333</v>
          </cell>
          <cell r="G205">
            <v>18000000</v>
          </cell>
          <cell r="H205" t="str">
            <v>Bộ phản ứng COD ECO25 115-230V/50-60Hz Velp - Ý</v>
          </cell>
        </row>
        <row r="206">
          <cell r="B206" t="str">
            <v>Nồi hấp</v>
          </cell>
          <cell r="C206" t="str">
            <v>Bộ</v>
          </cell>
          <cell r="D206">
            <v>1</v>
          </cell>
          <cell r="E206">
            <v>31481482</v>
          </cell>
          <cell r="F206">
            <v>2518518</v>
          </cell>
          <cell r="G206">
            <v>34000000</v>
          </cell>
          <cell r="H206" t="str">
            <v>Nồi hấp 50 lít DGL-50B Trung Quốc</v>
          </cell>
        </row>
        <row r="207">
          <cell r="B207" t="str">
            <v>Vật liệu</v>
          </cell>
          <cell r="E207">
            <v>0</v>
          </cell>
          <cell r="F207">
            <v>0</v>
          </cell>
          <cell r="G207">
            <v>0</v>
          </cell>
        </row>
        <row r="208">
          <cell r="B208" t="str">
            <v>Bao đựng mẫu</v>
          </cell>
          <cell r="C208" t="str">
            <v>Cái</v>
          </cell>
          <cell r="D208">
            <v>1</v>
          </cell>
          <cell r="E208">
            <v>926</v>
          </cell>
          <cell r="F208">
            <v>74</v>
          </cell>
          <cell r="G208">
            <v>1000</v>
          </cell>
          <cell r="H208" t="str">
            <v>Việt Nam</v>
          </cell>
        </row>
        <row r="209">
          <cell r="B209" t="str">
            <v>Nước rửa dụng cụ</v>
          </cell>
          <cell r="C209" t="str">
            <v>Lít</v>
          </cell>
          <cell r="D209">
            <v>1</v>
          </cell>
          <cell r="E209">
            <v>3565</v>
          </cell>
          <cell r="F209">
            <v>285</v>
          </cell>
          <cell r="G209">
            <v>3850</v>
          </cell>
        </row>
        <row r="210">
          <cell r="B210" t="str">
            <v>Khăn lau 30x30</v>
          </cell>
          <cell r="C210" t="str">
            <v>Cái</v>
          </cell>
          <cell r="D210">
            <v>1</v>
          </cell>
          <cell r="E210">
            <v>4630</v>
          </cell>
          <cell r="F210">
            <v>370</v>
          </cell>
          <cell r="G210">
            <v>5000</v>
          </cell>
          <cell r="H210" t="str">
            <v>Vải chuyên dụng - Việt Nam</v>
          </cell>
        </row>
        <row r="211">
          <cell r="B211" t="str">
            <v>KCl</v>
          </cell>
          <cell r="C211" t="str">
            <v>Gam</v>
          </cell>
          <cell r="D211">
            <v>1</v>
          </cell>
          <cell r="E211">
            <v>1244</v>
          </cell>
          <cell r="F211">
            <v>99</v>
          </cell>
          <cell r="G211">
            <v>1343</v>
          </cell>
          <cell r="H211" t="str">
            <v>Merck - Đức</v>
          </cell>
        </row>
        <row r="212">
          <cell r="B212" t="str">
            <v>K2Cr2O7</v>
          </cell>
          <cell r="C212" t="str">
            <v>Gam</v>
          </cell>
          <cell r="D212">
            <v>1</v>
          </cell>
          <cell r="E212">
            <v>4356</v>
          </cell>
          <cell r="F212">
            <v>348</v>
          </cell>
          <cell r="G212">
            <v>4704</v>
          </cell>
          <cell r="H212" t="str">
            <v>G7</v>
          </cell>
        </row>
        <row r="213">
          <cell r="B213" t="str">
            <v>H2SO4</v>
          </cell>
          <cell r="C213" t="str">
            <v>ml</v>
          </cell>
          <cell r="D213">
            <v>1</v>
          </cell>
          <cell r="E213">
            <v>563</v>
          </cell>
          <cell r="F213">
            <v>45</v>
          </cell>
          <cell r="G213">
            <v>608</v>
          </cell>
          <cell r="H213" t="str">
            <v>Merck - Đức</v>
          </cell>
        </row>
        <row r="214">
          <cell r="B214" t="str">
            <v>FeSO4(NH4)2SO4.H2O</v>
          </cell>
          <cell r="C214" t="str">
            <v>Gam</v>
          </cell>
          <cell r="D214">
            <v>1</v>
          </cell>
          <cell r="E214">
            <v>1852</v>
          </cell>
          <cell r="F214">
            <v>148</v>
          </cell>
          <cell r="G214">
            <v>2000</v>
          </cell>
          <cell r="H214" t="str">
            <v>Đức</v>
          </cell>
        </row>
        <row r="215">
          <cell r="B215" t="str">
            <v>C12H8N2.H2O</v>
          </cell>
          <cell r="C215" t="str">
            <v>Gam</v>
          </cell>
          <cell r="D215">
            <v>1</v>
          </cell>
          <cell r="E215">
            <v>212963</v>
          </cell>
          <cell r="F215">
            <v>17037</v>
          </cell>
          <cell r="G215">
            <v>230000</v>
          </cell>
          <cell r="H215" t="str">
            <v>Merck - Đức</v>
          </cell>
        </row>
        <row r="216">
          <cell r="B216" t="str">
            <v>H3PO4</v>
          </cell>
          <cell r="C216" t="str">
            <v>ml</v>
          </cell>
          <cell r="D216">
            <v>1</v>
          </cell>
          <cell r="E216">
            <v>1497</v>
          </cell>
          <cell r="F216">
            <v>120</v>
          </cell>
          <cell r="G216">
            <v>1617</v>
          </cell>
          <cell r="H216" t="str">
            <v>G7</v>
          </cell>
        </row>
        <row r="217">
          <cell r="B217" t="str">
            <v>Diphenylamin</v>
          </cell>
          <cell r="C217" t="str">
            <v>Gam</v>
          </cell>
          <cell r="D217">
            <v>1</v>
          </cell>
          <cell r="E217">
            <v>2444</v>
          </cell>
          <cell r="F217">
            <v>196</v>
          </cell>
          <cell r="G217">
            <v>2640</v>
          </cell>
          <cell r="H217" t="str">
            <v>Đức</v>
          </cell>
        </row>
        <row r="218">
          <cell r="B218" t="str">
            <v>Cồn lau dụng cụ</v>
          </cell>
          <cell r="C218" t="str">
            <v>ml</v>
          </cell>
          <cell r="D218">
            <v>1</v>
          </cell>
          <cell r="E218">
            <v>37</v>
          </cell>
          <cell r="F218">
            <v>3</v>
          </cell>
          <cell r="G218">
            <v>40</v>
          </cell>
          <cell r="H218" t="str">
            <v>Việt Nam</v>
          </cell>
        </row>
        <row r="219">
          <cell r="B219" t="str">
            <v>Giấy lọc băng xanh</v>
          </cell>
          <cell r="C219" t="str">
            <v>Hộp</v>
          </cell>
          <cell r="D219">
            <v>1</v>
          </cell>
          <cell r="E219">
            <v>120370</v>
          </cell>
          <cell r="F219">
            <v>9630</v>
          </cell>
          <cell r="G219">
            <v>130000</v>
          </cell>
          <cell r="H219" t="str">
            <v>Trung Quốc</v>
          </cell>
        </row>
        <row r="220">
          <cell r="B220" t="str">
            <v>Na(PO3)6</v>
          </cell>
          <cell r="C220" t="str">
            <v>Gam</v>
          </cell>
          <cell r="D220">
            <v>1</v>
          </cell>
          <cell r="E220">
            <v>3704</v>
          </cell>
          <cell r="F220">
            <v>296</v>
          </cell>
          <cell r="G220">
            <v>4000</v>
          </cell>
          <cell r="H220" t="str">
            <v>Đức</v>
          </cell>
        </row>
        <row r="221">
          <cell r="B221" t="str">
            <v>Na2CO3</v>
          </cell>
          <cell r="C221" t="str">
            <v>Gam</v>
          </cell>
          <cell r="D221">
            <v>1</v>
          </cell>
          <cell r="E221">
            <v>1489</v>
          </cell>
          <cell r="F221">
            <v>119</v>
          </cell>
          <cell r="G221">
            <v>1608</v>
          </cell>
          <cell r="H221" t="str">
            <v>Merck - Đức</v>
          </cell>
        </row>
        <row r="222">
          <cell r="B222" t="str">
            <v>CH3COOH</v>
          </cell>
          <cell r="C222" t="str">
            <v>Gam</v>
          </cell>
          <cell r="D222">
            <v>1</v>
          </cell>
          <cell r="E222">
            <v>2315</v>
          </cell>
          <cell r="F222">
            <v>185</v>
          </cell>
          <cell r="G222">
            <v>2500</v>
          </cell>
          <cell r="H222" t="str">
            <v>Đức</v>
          </cell>
        </row>
        <row r="223">
          <cell r="B223" t="str">
            <v>NH4OH</v>
          </cell>
          <cell r="C223" t="str">
            <v>ml</v>
          </cell>
          <cell r="D223">
            <v>1</v>
          </cell>
          <cell r="E223">
            <v>3496</v>
          </cell>
          <cell r="F223">
            <v>280</v>
          </cell>
          <cell r="G223">
            <v>3776</v>
          </cell>
          <cell r="H223" t="str">
            <v>Sigma/ Mỹ</v>
          </cell>
        </row>
        <row r="224">
          <cell r="B224" t="str">
            <v>Etanol</v>
          </cell>
          <cell r="C224" t="str">
            <v>Gam</v>
          </cell>
          <cell r="D224">
            <v>1</v>
          </cell>
          <cell r="E224">
            <v>926</v>
          </cell>
          <cell r="F224">
            <v>74</v>
          </cell>
          <cell r="G224">
            <v>1000</v>
          </cell>
          <cell r="H224" t="str">
            <v>Việt Nam</v>
          </cell>
        </row>
        <row r="225">
          <cell r="B225" t="str">
            <v>HCl</v>
          </cell>
          <cell r="C225" t="str">
            <v>ml</v>
          </cell>
          <cell r="D225">
            <v>1</v>
          </cell>
          <cell r="E225">
            <v>4981</v>
          </cell>
          <cell r="F225">
            <v>399</v>
          </cell>
          <cell r="G225">
            <v>5380</v>
          </cell>
          <cell r="H225" t="str">
            <v>Sigma/ Mỹ</v>
          </cell>
        </row>
        <row r="226">
          <cell r="B226" t="str">
            <v>H3BO3</v>
          </cell>
          <cell r="C226" t="str">
            <v>Gam</v>
          </cell>
          <cell r="D226">
            <v>1</v>
          </cell>
          <cell r="E226">
            <v>1528</v>
          </cell>
          <cell r="F226">
            <v>122</v>
          </cell>
          <cell r="G226">
            <v>1650</v>
          </cell>
          <cell r="H226" t="str">
            <v>Merck - Đức</v>
          </cell>
        </row>
        <row r="227">
          <cell r="B227" t="str">
            <v>NaOH</v>
          </cell>
          <cell r="C227" t="str">
            <v>Gam</v>
          </cell>
          <cell r="D227">
            <v>1</v>
          </cell>
          <cell r="E227">
            <v>563</v>
          </cell>
          <cell r="F227">
            <v>45</v>
          </cell>
          <cell r="G227">
            <v>608</v>
          </cell>
          <cell r="H227" t="str">
            <v>Merck - Đức</v>
          </cell>
        </row>
        <row r="228">
          <cell r="B228" t="str">
            <v>H2SO4 tiêu chuẩn</v>
          </cell>
          <cell r="C228" t="str">
            <v>ml</v>
          </cell>
          <cell r="D228">
            <v>1</v>
          </cell>
          <cell r="E228">
            <v>2769</v>
          </cell>
          <cell r="F228">
            <v>221</v>
          </cell>
          <cell r="G228">
            <v>2990</v>
          </cell>
          <cell r="H228" t="str">
            <v>Sigma/ Mỹ</v>
          </cell>
        </row>
        <row r="229">
          <cell r="B229" t="str">
            <v>Bromocresol xanh</v>
          </cell>
          <cell r="C229" t="str">
            <v>Gam</v>
          </cell>
          <cell r="D229">
            <v>1</v>
          </cell>
          <cell r="E229">
            <v>3463</v>
          </cell>
          <cell r="F229">
            <v>277</v>
          </cell>
          <cell r="G229">
            <v>3740</v>
          </cell>
          <cell r="H229" t="str">
            <v>Đức</v>
          </cell>
        </row>
        <row r="230">
          <cell r="B230" t="str">
            <v>Metyl đỏ</v>
          </cell>
          <cell r="C230" t="str">
            <v>Gam</v>
          </cell>
          <cell r="D230">
            <v>1</v>
          </cell>
          <cell r="E230">
            <v>43111</v>
          </cell>
          <cell r="F230">
            <v>3449</v>
          </cell>
          <cell r="G230">
            <v>46560</v>
          </cell>
          <cell r="H230" t="str">
            <v>Merck - Đức</v>
          </cell>
        </row>
        <row r="231">
          <cell r="B231" t="str">
            <v>Màng lọc</v>
          </cell>
          <cell r="C231" t="str">
            <v>Cái</v>
          </cell>
          <cell r="D231">
            <v>1</v>
          </cell>
          <cell r="E231">
            <v>2750</v>
          </cell>
          <cell r="F231">
            <v>220</v>
          </cell>
          <cell r="G231">
            <v>2970</v>
          </cell>
          <cell r="H231" t="str">
            <v>Merck - Đức</v>
          </cell>
        </row>
        <row r="232">
          <cell r="B232" t="str">
            <v>(NH4)2SO4</v>
          </cell>
          <cell r="C232" t="str">
            <v>Gam</v>
          </cell>
          <cell r="D232">
            <v>1</v>
          </cell>
          <cell r="E232">
            <v>2076</v>
          </cell>
          <cell r="F232">
            <v>166</v>
          </cell>
          <cell r="G232">
            <v>2242</v>
          </cell>
          <cell r="H232" t="str">
            <v>Merck - Đức</v>
          </cell>
        </row>
        <row r="233">
          <cell r="B233" t="str">
            <v>K2SO4</v>
          </cell>
          <cell r="C233" t="str">
            <v>Gam</v>
          </cell>
          <cell r="D233">
            <v>1</v>
          </cell>
          <cell r="E233">
            <v>14370</v>
          </cell>
          <cell r="F233">
            <v>1150</v>
          </cell>
          <cell r="G233">
            <v>15520</v>
          </cell>
          <cell r="H233" t="str">
            <v>Merck - Đức</v>
          </cell>
        </row>
        <row r="234">
          <cell r="B234" t="str">
            <v>NaNO2</v>
          </cell>
          <cell r="C234" t="str">
            <v>Gam</v>
          </cell>
          <cell r="D234">
            <v>1</v>
          </cell>
          <cell r="E234">
            <v>2050</v>
          </cell>
          <cell r="F234">
            <v>164</v>
          </cell>
          <cell r="G234">
            <v>2214</v>
          </cell>
          <cell r="H234" t="str">
            <v>Merck - Đức</v>
          </cell>
        </row>
        <row r="235">
          <cell r="B235" t="str">
            <v>KNO3</v>
          </cell>
          <cell r="C235" t="str">
            <v>Gam</v>
          </cell>
          <cell r="D235">
            <v>1</v>
          </cell>
          <cell r="E235">
            <v>1296</v>
          </cell>
          <cell r="F235">
            <v>104</v>
          </cell>
          <cell r="G235">
            <v>1400</v>
          </cell>
          <cell r="H235" t="str">
            <v>Đức</v>
          </cell>
        </row>
        <row r="236">
          <cell r="B236" t="str">
            <v>HCl 1N</v>
          </cell>
          <cell r="C236" t="str">
            <v>ml</v>
          </cell>
          <cell r="D236">
            <v>1</v>
          </cell>
          <cell r="E236">
            <v>32407</v>
          </cell>
          <cell r="F236">
            <v>2593</v>
          </cell>
          <cell r="G236">
            <v>35000</v>
          </cell>
          <cell r="H236" t="str">
            <v>Đức</v>
          </cell>
        </row>
        <row r="237">
          <cell r="B237" t="str">
            <v>Na2S2O3</v>
          </cell>
          <cell r="C237" t="str">
            <v>Gam</v>
          </cell>
          <cell r="D237">
            <v>1</v>
          </cell>
          <cell r="E237">
            <v>130</v>
          </cell>
          <cell r="F237">
            <v>10</v>
          </cell>
          <cell r="G237">
            <v>140</v>
          </cell>
          <cell r="H237" t="str">
            <v>Trung Quốc</v>
          </cell>
        </row>
        <row r="238">
          <cell r="B238" t="str">
            <v>CuSO4</v>
          </cell>
          <cell r="C238" t="str">
            <v>Gam</v>
          </cell>
          <cell r="D238">
            <v>1</v>
          </cell>
          <cell r="E238">
            <v>1852</v>
          </cell>
          <cell r="F238">
            <v>148</v>
          </cell>
          <cell r="G238">
            <v>2000</v>
          </cell>
          <cell r="H238" t="str">
            <v>Đức</v>
          </cell>
        </row>
        <row r="239">
          <cell r="B239" t="str">
            <v>Phenolphtalein</v>
          </cell>
          <cell r="C239" t="str">
            <v>Gam</v>
          </cell>
          <cell r="D239">
            <v>1</v>
          </cell>
          <cell r="E239">
            <v>22130</v>
          </cell>
          <cell r="F239">
            <v>1770</v>
          </cell>
          <cell r="G239">
            <v>23900</v>
          </cell>
          <cell r="H239" t="str">
            <v>Sigma/ Mỹ</v>
          </cell>
        </row>
        <row r="240">
          <cell r="B240" t="str">
            <v>K2S2O8</v>
          </cell>
          <cell r="C240" t="str">
            <v>Gam</v>
          </cell>
          <cell r="D240">
            <v>1</v>
          </cell>
          <cell r="E240">
            <v>1389</v>
          </cell>
          <cell r="F240">
            <v>111</v>
          </cell>
          <cell r="G240">
            <v>1500</v>
          </cell>
          <cell r="H240" t="str">
            <v>Đức</v>
          </cell>
        </row>
        <row r="241">
          <cell r="B241" t="str">
            <v>(NH4)6MO7O24.4H2O</v>
          </cell>
          <cell r="C241" t="str">
            <v>Gam</v>
          </cell>
          <cell r="D241">
            <v>1</v>
          </cell>
          <cell r="E241">
            <v>27778</v>
          </cell>
          <cell r="F241">
            <v>2222</v>
          </cell>
          <cell r="G241">
            <v>30000</v>
          </cell>
          <cell r="H241" t="str">
            <v>Đức</v>
          </cell>
        </row>
        <row r="242">
          <cell r="B242" t="str">
            <v>NaOH 1N</v>
          </cell>
          <cell r="C242" t="str">
            <v>ml</v>
          </cell>
          <cell r="D242">
            <v>1</v>
          </cell>
          <cell r="E242">
            <v>27778</v>
          </cell>
          <cell r="F242">
            <v>2222</v>
          </cell>
          <cell r="G242">
            <v>30000</v>
          </cell>
          <cell r="H242" t="str">
            <v>Đức</v>
          </cell>
        </row>
        <row r="243">
          <cell r="B243" t="str">
            <v>Kali antimontatrat</v>
          </cell>
          <cell r="C243" t="str">
            <v>Gam</v>
          </cell>
          <cell r="D243">
            <v>1</v>
          </cell>
          <cell r="E243">
            <v>6481</v>
          </cell>
          <cell r="F243">
            <v>519</v>
          </cell>
          <cell r="G243">
            <v>7000</v>
          </cell>
          <cell r="H243" t="str">
            <v>Đức</v>
          </cell>
        </row>
        <row r="244">
          <cell r="B244" t="str">
            <v>Axit Ascorbic</v>
          </cell>
          <cell r="C244" t="str">
            <v>ml</v>
          </cell>
          <cell r="D244">
            <v>1</v>
          </cell>
          <cell r="E244">
            <v>17593</v>
          </cell>
          <cell r="F244">
            <v>1407</v>
          </cell>
          <cell r="G244">
            <v>19000</v>
          </cell>
          <cell r="H244" t="str">
            <v>Sigma - Mỹ</v>
          </cell>
        </row>
        <row r="245">
          <cell r="B245" t="str">
            <v>Dung dịch chuẩn P-PO4</v>
          </cell>
          <cell r="C245" t="str">
            <v>ml</v>
          </cell>
          <cell r="D245">
            <v>1</v>
          </cell>
          <cell r="E245">
            <v>2315</v>
          </cell>
          <cell r="F245">
            <v>185</v>
          </cell>
          <cell r="G245">
            <v>2500</v>
          </cell>
          <cell r="H245" t="str">
            <v>Đức</v>
          </cell>
        </row>
        <row r="246">
          <cell r="B246" t="str">
            <v>HF</v>
          </cell>
          <cell r="C246" t="str">
            <v>Gam</v>
          </cell>
          <cell r="D246">
            <v>1</v>
          </cell>
          <cell r="E246">
            <v>2315</v>
          </cell>
          <cell r="F246">
            <v>185</v>
          </cell>
          <cell r="G246">
            <v>2500</v>
          </cell>
          <cell r="H246" t="str">
            <v>Trung Quốc</v>
          </cell>
        </row>
        <row r="247">
          <cell r="B247" t="str">
            <v>HClO4</v>
          </cell>
          <cell r="C247" t="str">
            <v>Gam</v>
          </cell>
          <cell r="D247">
            <v>1</v>
          </cell>
          <cell r="E247">
            <v>18519</v>
          </cell>
          <cell r="F247">
            <v>1481</v>
          </cell>
          <cell r="G247">
            <v>20000</v>
          </cell>
          <cell r="H247" t="str">
            <v>Merck - Đức</v>
          </cell>
        </row>
        <row r="248">
          <cell r="B248" t="str">
            <v>Dung dịch chuẩn K</v>
          </cell>
          <cell r="C248" t="str">
            <v>ml</v>
          </cell>
          <cell r="D248">
            <v>1</v>
          </cell>
          <cell r="E248">
            <v>2315</v>
          </cell>
          <cell r="F248">
            <v>185</v>
          </cell>
          <cell r="G248">
            <v>2500</v>
          </cell>
          <cell r="H248" t="str">
            <v>Đức</v>
          </cell>
        </row>
        <row r="249">
          <cell r="B249" t="str">
            <v>CsCl</v>
          </cell>
          <cell r="C249" t="str">
            <v>Gam</v>
          </cell>
          <cell r="D249">
            <v>1</v>
          </cell>
          <cell r="E249">
            <v>74074</v>
          </cell>
          <cell r="F249">
            <v>5926</v>
          </cell>
          <cell r="G249">
            <v>80000</v>
          </cell>
          <cell r="H249" t="str">
            <v>Đức</v>
          </cell>
        </row>
        <row r="250">
          <cell r="B250" t="str">
            <v>Al(NO3)3</v>
          </cell>
          <cell r="C250" t="str">
            <v>ml</v>
          </cell>
          <cell r="D250">
            <v>1</v>
          </cell>
          <cell r="E250">
            <v>2778</v>
          </cell>
          <cell r="F250">
            <v>222</v>
          </cell>
          <cell r="G250">
            <v>3000</v>
          </cell>
          <cell r="H250" t="str">
            <v>Đức</v>
          </cell>
        </row>
        <row r="251">
          <cell r="B251" t="str">
            <v>MgCl2</v>
          </cell>
          <cell r="C251" t="str">
            <v>Gam</v>
          </cell>
          <cell r="D251">
            <v>1</v>
          </cell>
          <cell r="E251">
            <v>1574</v>
          </cell>
          <cell r="F251">
            <v>126</v>
          </cell>
          <cell r="G251">
            <v>1700</v>
          </cell>
          <cell r="H251" t="str">
            <v>Đức</v>
          </cell>
        </row>
        <row r="252">
          <cell r="B252" t="str">
            <v>CH3COONa</v>
          </cell>
          <cell r="C252" t="str">
            <v>Gam</v>
          </cell>
          <cell r="D252">
            <v>1</v>
          </cell>
          <cell r="E252">
            <v>175</v>
          </cell>
          <cell r="F252">
            <v>14</v>
          </cell>
          <cell r="G252">
            <v>189</v>
          </cell>
          <cell r="H252" t="str">
            <v>Trung Quốc</v>
          </cell>
        </row>
        <row r="253">
          <cell r="B253" t="str">
            <v>BaCl2</v>
          </cell>
          <cell r="C253" t="str">
            <v>Gam</v>
          </cell>
          <cell r="D253">
            <v>1</v>
          </cell>
          <cell r="E253">
            <v>1389</v>
          </cell>
          <cell r="F253">
            <v>111</v>
          </cell>
          <cell r="G253">
            <v>1500</v>
          </cell>
          <cell r="H253" t="str">
            <v>Đức</v>
          </cell>
        </row>
        <row r="254">
          <cell r="B254" t="str">
            <v>Na2SO4</v>
          </cell>
          <cell r="C254" t="str">
            <v>Gam</v>
          </cell>
          <cell r="D254">
            <v>1</v>
          </cell>
          <cell r="E254">
            <v>370</v>
          </cell>
          <cell r="F254">
            <v>30</v>
          </cell>
          <cell r="G254">
            <v>400</v>
          </cell>
          <cell r="H254" t="str">
            <v>Đức</v>
          </cell>
        </row>
        <row r="255">
          <cell r="B255" t="str">
            <v>Dung dịch chuẩn gốc 1000ppm</v>
          </cell>
          <cell r="C255" t="str">
            <v>ml</v>
          </cell>
          <cell r="D255">
            <v>1</v>
          </cell>
          <cell r="E255">
            <v>3519</v>
          </cell>
          <cell r="F255">
            <v>281</v>
          </cell>
          <cell r="G255">
            <v>3800</v>
          </cell>
          <cell r="H255" t="str">
            <v>Merck</v>
          </cell>
        </row>
        <row r="256">
          <cell r="B256" t="str">
            <v>H2O2</v>
          </cell>
          <cell r="C256" t="str">
            <v>ml</v>
          </cell>
          <cell r="D256">
            <v>1</v>
          </cell>
          <cell r="E256">
            <v>833</v>
          </cell>
          <cell r="F256">
            <v>67</v>
          </cell>
          <cell r="G256">
            <v>900</v>
          </cell>
          <cell r="H256" t="str">
            <v>Đức</v>
          </cell>
        </row>
        <row r="257">
          <cell r="B257" t="str">
            <v>HNO3</v>
          </cell>
          <cell r="C257" t="str">
            <v>ml</v>
          </cell>
          <cell r="D257">
            <v>1</v>
          </cell>
          <cell r="E257">
            <v>65</v>
          </cell>
          <cell r="F257">
            <v>5</v>
          </cell>
          <cell r="G257">
            <v>70</v>
          </cell>
          <cell r="H257" t="str">
            <v>Trung Quốc</v>
          </cell>
        </row>
        <row r="258">
          <cell r="B258" t="str">
            <v>NH4NO3</v>
          </cell>
          <cell r="C258" t="str">
            <v>Gam</v>
          </cell>
          <cell r="D258">
            <v>1</v>
          </cell>
          <cell r="E258">
            <v>370</v>
          </cell>
          <cell r="F258">
            <v>30</v>
          </cell>
          <cell r="G258">
            <v>400</v>
          </cell>
          <cell r="H258" t="str">
            <v>Trung Quốc</v>
          </cell>
        </row>
        <row r="259">
          <cell r="B259" t="str">
            <v>Giấy lau</v>
          </cell>
          <cell r="C259" t="str">
            <v>Hộp</v>
          </cell>
          <cell r="D259">
            <v>1</v>
          </cell>
          <cell r="E259">
            <v>18519</v>
          </cell>
          <cell r="F259">
            <v>1481</v>
          </cell>
          <cell r="G259">
            <v>20000</v>
          </cell>
          <cell r="H259" t="str">
            <v>Việt Nam</v>
          </cell>
        </row>
        <row r="260">
          <cell r="B260" t="str">
            <v>Dung dịch chuẩn mix 13</v>
          </cell>
          <cell r="C260" t="str">
            <v>ml</v>
          </cell>
          <cell r="D260">
            <v>1</v>
          </cell>
          <cell r="E260">
            <v>69444</v>
          </cell>
          <cell r="F260">
            <v>5556</v>
          </cell>
          <cell r="G260">
            <v>75000</v>
          </cell>
          <cell r="H260" t="str">
            <v>Đức</v>
          </cell>
        </row>
        <row r="261">
          <cell r="B261" t="str">
            <v>Dung dịch nội chuẩn</v>
          </cell>
          <cell r="C261" t="str">
            <v>ml</v>
          </cell>
          <cell r="D261">
            <v>1</v>
          </cell>
          <cell r="E261">
            <v>30556</v>
          </cell>
          <cell r="F261">
            <v>2444</v>
          </cell>
          <cell r="G261">
            <v>33000</v>
          </cell>
          <cell r="H261" t="str">
            <v>Đức</v>
          </cell>
        </row>
        <row r="262">
          <cell r="B262" t="str">
            <v>CH2C12</v>
          </cell>
          <cell r="C262" t="str">
            <v>ml</v>
          </cell>
          <cell r="D262">
            <v>1</v>
          </cell>
          <cell r="E262">
            <v>1435</v>
          </cell>
          <cell r="F262">
            <v>115</v>
          </cell>
          <cell r="G262">
            <v>1550</v>
          </cell>
          <cell r="H262" t="str">
            <v>Merck - Đức</v>
          </cell>
        </row>
        <row r="263">
          <cell r="B263" t="str">
            <v>Aceton</v>
          </cell>
          <cell r="C263" t="str">
            <v>ml</v>
          </cell>
          <cell r="D263">
            <v>1</v>
          </cell>
          <cell r="E263">
            <v>148</v>
          </cell>
          <cell r="F263">
            <v>12</v>
          </cell>
          <cell r="G263">
            <v>160</v>
          </cell>
          <cell r="H263" t="str">
            <v>Trung Quốc</v>
          </cell>
        </row>
        <row r="264">
          <cell r="B264" t="str">
            <v>n-Hexan</v>
          </cell>
          <cell r="C264" t="str">
            <v>ml</v>
          </cell>
          <cell r="D264">
            <v>1</v>
          </cell>
          <cell r="E264">
            <v>148</v>
          </cell>
          <cell r="F264">
            <v>12</v>
          </cell>
          <cell r="G264">
            <v>160</v>
          </cell>
          <cell r="H264" t="str">
            <v>Trung Quốc</v>
          </cell>
        </row>
        <row r="265">
          <cell r="B265" t="str">
            <v>Chiết pha rắn SPE</v>
          </cell>
          <cell r="C265" t="str">
            <v>Cái</v>
          </cell>
          <cell r="D265">
            <v>1</v>
          </cell>
          <cell r="E265">
            <v>61111</v>
          </cell>
          <cell r="F265">
            <v>4889</v>
          </cell>
          <cell r="G265">
            <v>66000</v>
          </cell>
          <cell r="H265" t="str">
            <v>HF Bond Eclut-C18</v>
          </cell>
        </row>
        <row r="266">
          <cell r="B266" t="str">
            <v>Septa cho vial</v>
          </cell>
          <cell r="C266" t="str">
            <v>Cái</v>
          </cell>
          <cell r="D266">
            <v>1</v>
          </cell>
          <cell r="E266">
            <v>6019</v>
          </cell>
          <cell r="F266">
            <v>481</v>
          </cell>
          <cell r="G266">
            <v>6500</v>
          </cell>
          <cell r="H266" t="str">
            <v>Agilent</v>
          </cell>
        </row>
        <row r="267">
          <cell r="B267" t="str">
            <v>Vial</v>
          </cell>
          <cell r="C267" t="str">
            <v>Cái</v>
          </cell>
          <cell r="D267">
            <v>1</v>
          </cell>
          <cell r="E267">
            <v>13889</v>
          </cell>
          <cell r="F267">
            <v>1111</v>
          </cell>
          <cell r="G267">
            <v>15000</v>
          </cell>
          <cell r="H267" t="str">
            <v>Đức</v>
          </cell>
        </row>
        <row r="268">
          <cell r="B268" t="str">
            <v>Bông thủy tinh</v>
          </cell>
          <cell r="C268" t="str">
            <v>Gam</v>
          </cell>
          <cell r="D268">
            <v>1</v>
          </cell>
          <cell r="E268">
            <v>3704</v>
          </cell>
          <cell r="F268">
            <v>296</v>
          </cell>
          <cell r="G268">
            <v>4000</v>
          </cell>
          <cell r="H268" t="str">
            <v>Hàn Quốc</v>
          </cell>
        </row>
        <row r="269">
          <cell r="B269" t="str">
            <v>Pipet Pasteur</v>
          </cell>
          <cell r="C269" t="str">
            <v>Cái</v>
          </cell>
          <cell r="D269">
            <v>1</v>
          </cell>
          <cell r="E269">
            <v>556</v>
          </cell>
          <cell r="F269">
            <v>44</v>
          </cell>
          <cell r="G269">
            <v>600</v>
          </cell>
          <cell r="H269" t="str">
            <v>Pipet pasteur 3ml Aptaca-Ý</v>
          </cell>
        </row>
        <row r="270">
          <cell r="B270" t="str">
            <v>Khí Nitơ</v>
          </cell>
          <cell r="C270" t="str">
            <v>Bình</v>
          </cell>
          <cell r="D270">
            <v>1</v>
          </cell>
          <cell r="E270">
            <v>2407407</v>
          </cell>
          <cell r="F270">
            <v>192593</v>
          </cell>
          <cell r="G270">
            <v>2600000</v>
          </cell>
          <cell r="H270" t="str">
            <v>Meesser</v>
          </cell>
        </row>
        <row r="271">
          <cell r="B271" t="str">
            <v>Khí Heli</v>
          </cell>
          <cell r="C271" t="str">
            <v>Bình</v>
          </cell>
          <cell r="D271">
            <v>1</v>
          </cell>
          <cell r="E271">
            <v>8194445</v>
          </cell>
          <cell r="F271">
            <v>655555</v>
          </cell>
          <cell r="G271">
            <v>8850000</v>
          </cell>
          <cell r="H271" t="str">
            <v>Meesser</v>
          </cell>
        </row>
        <row r="272">
          <cell r="B272" t="str">
            <v>Dung dịch chuẩn hỗn hợp nhóm Pyrethroid</v>
          </cell>
          <cell r="C272" t="str">
            <v>ml</v>
          </cell>
          <cell r="D272">
            <v>1</v>
          </cell>
          <cell r="E272">
            <v>4814815</v>
          </cell>
          <cell r="F272">
            <v>385185</v>
          </cell>
          <cell r="G272">
            <v>5200000</v>
          </cell>
          <cell r="H272" t="str">
            <v>Đức</v>
          </cell>
        </row>
        <row r="273">
          <cell r="B273" t="str">
            <v>FeCl3.6H2O</v>
          </cell>
          <cell r="C273" t="str">
            <v>Gam</v>
          </cell>
          <cell r="D273">
            <v>1</v>
          </cell>
          <cell r="E273">
            <v>2813</v>
          </cell>
          <cell r="F273">
            <v>225</v>
          </cell>
          <cell r="G273">
            <v>3038</v>
          </cell>
          <cell r="H273" t="str">
            <v>Scharlau - Tây Ban Nha</v>
          </cell>
        </row>
        <row r="274">
          <cell r="B274" t="str">
            <v>CaCl2</v>
          </cell>
          <cell r="C274" t="str">
            <v>Gam</v>
          </cell>
          <cell r="D274">
            <v>1</v>
          </cell>
          <cell r="E274">
            <v>1489</v>
          </cell>
          <cell r="F274">
            <v>119</v>
          </cell>
          <cell r="G274">
            <v>1608</v>
          </cell>
          <cell r="H274" t="str">
            <v>Merck-Đức</v>
          </cell>
        </row>
        <row r="275">
          <cell r="B275" t="str">
            <v>MgSO4.7H2O</v>
          </cell>
          <cell r="C275" t="str">
            <v>Gam</v>
          </cell>
          <cell r="D275">
            <v>1</v>
          </cell>
          <cell r="E275">
            <v>1497</v>
          </cell>
          <cell r="F275">
            <v>120</v>
          </cell>
          <cell r="G275">
            <v>1617</v>
          </cell>
          <cell r="H275" t="str">
            <v>Merck-Đức</v>
          </cell>
        </row>
        <row r="276">
          <cell r="B276" t="str">
            <v>KH2PO4</v>
          </cell>
          <cell r="C276" t="str">
            <v>Gam</v>
          </cell>
          <cell r="D276">
            <v>1</v>
          </cell>
          <cell r="E276">
            <v>148</v>
          </cell>
          <cell r="F276">
            <v>12</v>
          </cell>
          <cell r="G276">
            <v>160</v>
          </cell>
          <cell r="H276" t="str">
            <v>Trung Quốc</v>
          </cell>
        </row>
        <row r="277">
          <cell r="B277" t="str">
            <v>Na2HPO4</v>
          </cell>
          <cell r="C277" t="str">
            <v>Gam</v>
          </cell>
          <cell r="D277">
            <v>1</v>
          </cell>
          <cell r="E277">
            <v>2659</v>
          </cell>
          <cell r="F277">
            <v>213</v>
          </cell>
          <cell r="G277">
            <v>2872</v>
          </cell>
          <cell r="H277" t="str">
            <v>Merck-Đức</v>
          </cell>
        </row>
        <row r="278">
          <cell r="B278" t="str">
            <v>NH4Cl</v>
          </cell>
          <cell r="C278" t="str">
            <v>Gam</v>
          </cell>
          <cell r="D278">
            <v>1</v>
          </cell>
          <cell r="E278">
            <v>1815</v>
          </cell>
          <cell r="F278">
            <v>145</v>
          </cell>
          <cell r="G278">
            <v>1960</v>
          </cell>
          <cell r="H278" t="str">
            <v>Merck-Đức</v>
          </cell>
        </row>
        <row r="279">
          <cell r="B279" t="str">
            <v>Gluco</v>
          </cell>
          <cell r="C279" t="str">
            <v>Gam</v>
          </cell>
          <cell r="D279">
            <v>1</v>
          </cell>
          <cell r="E279">
            <v>1481</v>
          </cell>
          <cell r="F279">
            <v>119</v>
          </cell>
          <cell r="G279">
            <v>1600</v>
          </cell>
          <cell r="H279" t="str">
            <v>Erba-Đức</v>
          </cell>
        </row>
        <row r="280">
          <cell r="B280" t="str">
            <v>Polyseed</v>
          </cell>
          <cell r="C280" t="str">
            <v>Viên</v>
          </cell>
          <cell r="D280">
            <v>1</v>
          </cell>
          <cell r="E280">
            <v>85296</v>
          </cell>
          <cell r="F280">
            <v>6824</v>
          </cell>
          <cell r="G280">
            <v>92120</v>
          </cell>
          <cell r="H280" t="str">
            <v>Hach</v>
          </cell>
        </row>
        <row r="281">
          <cell r="B281" t="str">
            <v>Glutamic</v>
          </cell>
          <cell r="C281" t="str">
            <v>Gam</v>
          </cell>
          <cell r="D281">
            <v>1</v>
          </cell>
          <cell r="E281">
            <v>1472</v>
          </cell>
          <cell r="F281">
            <v>118</v>
          </cell>
          <cell r="G281">
            <v>1590</v>
          </cell>
          <cell r="H281" t="str">
            <v>Trung Quốc</v>
          </cell>
        </row>
        <row r="282">
          <cell r="B282" t="str">
            <v>Giấy pH</v>
          </cell>
          <cell r="C282" t="str">
            <v>Hộp</v>
          </cell>
          <cell r="D282">
            <v>1</v>
          </cell>
          <cell r="E282">
            <v>370370</v>
          </cell>
          <cell r="F282">
            <v>29630</v>
          </cell>
          <cell r="G282">
            <v>400000</v>
          </cell>
          <cell r="H282" t="str">
            <v>Xilong-China</v>
          </cell>
        </row>
        <row r="283">
          <cell r="B283" t="str">
            <v>Ag2SO4</v>
          </cell>
          <cell r="C283" t="str">
            <v>Gam</v>
          </cell>
          <cell r="D283">
            <v>1</v>
          </cell>
          <cell r="E283">
            <v>154352</v>
          </cell>
          <cell r="F283">
            <v>12348</v>
          </cell>
          <cell r="G283">
            <v>166700</v>
          </cell>
          <cell r="H283" t="str">
            <v>Merck-Đức</v>
          </cell>
        </row>
        <row r="284">
          <cell r="B284" t="str">
            <v>HgSO4</v>
          </cell>
          <cell r="C284" t="str">
            <v>Gam</v>
          </cell>
          <cell r="D284">
            <v>1</v>
          </cell>
          <cell r="E284">
            <v>20370</v>
          </cell>
          <cell r="F284">
            <v>1630</v>
          </cell>
          <cell r="G284">
            <v>22000</v>
          </cell>
          <cell r="H284" t="str">
            <v>Đức</v>
          </cell>
        </row>
        <row r="285">
          <cell r="B285" t="str">
            <v>(NH4)2Fe(SO4)2.6H2O</v>
          </cell>
          <cell r="C285" t="str">
            <v>Gam</v>
          </cell>
          <cell r="D285">
            <v>1</v>
          </cell>
          <cell r="E285">
            <v>24889</v>
          </cell>
          <cell r="F285">
            <v>1991</v>
          </cell>
          <cell r="G285">
            <v>26880</v>
          </cell>
          <cell r="H285" t="str">
            <v>Sigma/ Mỹ</v>
          </cell>
        </row>
        <row r="286">
          <cell r="B286" t="str">
            <v>FeSO4.7H2O</v>
          </cell>
          <cell r="C286" t="str">
            <v>Gam</v>
          </cell>
          <cell r="D286">
            <v>1</v>
          </cell>
          <cell r="E286">
            <v>1225</v>
          </cell>
          <cell r="F286">
            <v>98</v>
          </cell>
          <cell r="G286">
            <v>1323</v>
          </cell>
          <cell r="H286" t="str">
            <v>Scharlau - Tây Ban Nha</v>
          </cell>
        </row>
        <row r="287">
          <cell r="B287" t="str">
            <v>Ống chuẩn K2Cr2O7 0.1N</v>
          </cell>
          <cell r="C287" t="str">
            <v>Ống</v>
          </cell>
          <cell r="D287">
            <v>1</v>
          </cell>
          <cell r="E287">
            <v>666667</v>
          </cell>
          <cell r="F287">
            <v>53333</v>
          </cell>
          <cell r="G287">
            <v>720000</v>
          </cell>
          <cell r="H287" t="str">
            <v>Merck-Đức</v>
          </cell>
        </row>
        <row r="288">
          <cell r="B288" t="str">
            <v>Kali phatalat</v>
          </cell>
          <cell r="C288" t="str">
            <v>Gam</v>
          </cell>
          <cell r="D288">
            <v>1</v>
          </cell>
          <cell r="E288">
            <v>1852</v>
          </cell>
          <cell r="F288">
            <v>148</v>
          </cell>
          <cell r="G288">
            <v>2000</v>
          </cell>
          <cell r="H288" t="str">
            <v>Đức</v>
          </cell>
        </row>
        <row r="289">
          <cell r="B289" t="str">
            <v>Dung dịch NH4+ chuẩn</v>
          </cell>
          <cell r="C289" t="str">
            <v>ml</v>
          </cell>
          <cell r="D289">
            <v>1</v>
          </cell>
          <cell r="E289">
            <v>2315</v>
          </cell>
          <cell r="F289">
            <v>185</v>
          </cell>
          <cell r="G289">
            <v>2500</v>
          </cell>
          <cell r="H289" t="str">
            <v>Đức</v>
          </cell>
        </row>
        <row r="290">
          <cell r="B290" t="str">
            <v>NaC7H5NaO3</v>
          </cell>
          <cell r="C290" t="str">
            <v>Gam</v>
          </cell>
          <cell r="D290">
            <v>1</v>
          </cell>
          <cell r="E290">
            <v>278</v>
          </cell>
          <cell r="F290">
            <v>22</v>
          </cell>
          <cell r="G290">
            <v>300</v>
          </cell>
          <cell r="H290" t="str">
            <v>Trung Quốc</v>
          </cell>
        </row>
        <row r="291">
          <cell r="B291" t="str">
            <v>Na3C6H5O7.2H2O</v>
          </cell>
          <cell r="C291" t="str">
            <v>Gam</v>
          </cell>
          <cell r="D291">
            <v>1</v>
          </cell>
          <cell r="E291">
            <v>278</v>
          </cell>
          <cell r="F291">
            <v>22</v>
          </cell>
          <cell r="G291">
            <v>300</v>
          </cell>
          <cell r="H291" t="str">
            <v>Trung Quốc, tinh khiết 99,99%</v>
          </cell>
        </row>
        <row r="292">
          <cell r="B292" t="str">
            <v>NaClO</v>
          </cell>
          <cell r="C292" t="str">
            <v>ml</v>
          </cell>
          <cell r="D292">
            <v>1</v>
          </cell>
          <cell r="E292">
            <v>111</v>
          </cell>
          <cell r="F292">
            <v>9</v>
          </cell>
          <cell r="G292">
            <v>120</v>
          </cell>
          <cell r="H292" t="str">
            <v>Trung Quốc</v>
          </cell>
        </row>
        <row r="293">
          <cell r="B293" t="str">
            <v>Na2[Fe(CN)5.NO].2H2O</v>
          </cell>
          <cell r="C293" t="str">
            <v>Gam</v>
          </cell>
          <cell r="D293">
            <v>1</v>
          </cell>
          <cell r="E293">
            <v>926</v>
          </cell>
          <cell r="F293">
            <v>74</v>
          </cell>
          <cell r="G293">
            <v>1000</v>
          </cell>
          <cell r="H293" t="str">
            <v>Trung Quốc</v>
          </cell>
        </row>
        <row r="294">
          <cell r="B294" t="str">
            <v>C3N3O3C12Na.2H2O</v>
          </cell>
          <cell r="C294" t="str">
            <v>Gam</v>
          </cell>
          <cell r="D294">
            <v>1</v>
          </cell>
          <cell r="E294">
            <v>7407</v>
          </cell>
          <cell r="F294">
            <v>593</v>
          </cell>
          <cell r="G294">
            <v>8000</v>
          </cell>
          <cell r="H294" t="str">
            <v>Trung Quốc</v>
          </cell>
        </row>
        <row r="295">
          <cell r="B295" t="str">
            <v>H2SO4 5N</v>
          </cell>
          <cell r="C295" t="str">
            <v>ml</v>
          </cell>
          <cell r="D295">
            <v>1</v>
          </cell>
          <cell r="E295">
            <v>2769</v>
          </cell>
          <cell r="F295">
            <v>221</v>
          </cell>
          <cell r="G295">
            <v>2990</v>
          </cell>
          <cell r="H295" t="str">
            <v>Sigma/ Mỹ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ngia_DungCu"/>
      <sheetName val="Dongia_VatLieu"/>
      <sheetName val="Dongia_Diennang"/>
      <sheetName val="Dongia_Nhienlieu"/>
      <sheetName val="DM_ThietBi_QH"/>
      <sheetName val="DONGIA_T6.2025 (PL5)"/>
    </sheetNames>
    <sheetDataSet>
      <sheetData sheetId="0" refreshError="1"/>
      <sheetData sheetId="1" refreshError="1"/>
      <sheetData sheetId="2" refreshError="1"/>
      <sheetData sheetId="3" refreshError="1"/>
      <sheetData sheetId="4" refreshError="1"/>
      <sheetData sheetId="5" refreshError="1">
        <row r="5">
          <cell r="B5" t="str">
            <v>Bàn làm việc</v>
          </cell>
          <cell r="C5" t="str">
            <v>Cái</v>
          </cell>
          <cell r="D5">
            <v>1</v>
          </cell>
          <cell r="E5">
            <v>1654695</v>
          </cell>
          <cell r="F5">
            <v>132375.6</v>
          </cell>
          <cell r="G5">
            <v>1787070.6</v>
          </cell>
          <cell r="H5" t="str">
            <v>Bàn chân sắt HU120</v>
          </cell>
        </row>
        <row r="6">
          <cell r="B6" t="str">
            <v>Bàn để máy tính</v>
          </cell>
          <cell r="C6" t="str">
            <v>Cái</v>
          </cell>
          <cell r="E6">
            <v>2240000</v>
          </cell>
          <cell r="F6">
            <v>179200</v>
          </cell>
          <cell r="G6">
            <v>2419200</v>
          </cell>
          <cell r="H6" t="str">
            <v>Bàn máy tính Hòa Phát NTM120</v>
          </cell>
        </row>
        <row r="7">
          <cell r="B7" t="str">
            <v>Ghế văn phòng (ghế máy tính)</v>
          </cell>
          <cell r="C7" t="str">
            <v>Cái</v>
          </cell>
          <cell r="D7">
            <v>1</v>
          </cell>
          <cell r="E7">
            <v>604950</v>
          </cell>
          <cell r="F7">
            <v>48396</v>
          </cell>
          <cell r="G7">
            <v>653346</v>
          </cell>
          <cell r="H7" t="str">
            <v>Ghế nhân viên SG550</v>
          </cell>
        </row>
        <row r="8">
          <cell r="B8" t="str">
            <v>Ghế văn phòng</v>
          </cell>
          <cell r="C8" t="str">
            <v>Cái</v>
          </cell>
          <cell r="D8">
            <v>1</v>
          </cell>
          <cell r="E8">
            <v>498000</v>
          </cell>
          <cell r="F8">
            <v>39840</v>
          </cell>
          <cell r="G8">
            <v>537840</v>
          </cell>
          <cell r="H8" t="str">
            <v>GHẾ HỌP GL432</v>
          </cell>
        </row>
        <row r="9">
          <cell r="B9" t="str">
            <v>Chuột máy tính</v>
          </cell>
          <cell r="C9" t="str">
            <v>Cái</v>
          </cell>
          <cell r="D9">
            <v>1</v>
          </cell>
          <cell r="E9">
            <v>184000</v>
          </cell>
          <cell r="F9">
            <v>14720</v>
          </cell>
          <cell r="G9">
            <v>198720</v>
          </cell>
          <cell r="H9" t="str">
            <v>Chuột máy tính Không Dây DELL WM118</v>
          </cell>
        </row>
        <row r="10">
          <cell r="B10" t="str">
            <v>Máy tính casio</v>
          </cell>
          <cell r="C10" t="str">
            <v>Cái</v>
          </cell>
          <cell r="D10">
            <v>1</v>
          </cell>
          <cell r="E10">
            <v>202400</v>
          </cell>
          <cell r="F10">
            <v>16192</v>
          </cell>
          <cell r="G10">
            <v>218592</v>
          </cell>
          <cell r="H10" t="str">
            <v>Máy tính Casio FX580VN</v>
          </cell>
        </row>
        <row r="11">
          <cell r="B11" t="str">
            <v>Ổn áp dùng chung 10KVA</v>
          </cell>
          <cell r="C11" t="str">
            <v>Cái</v>
          </cell>
          <cell r="D11">
            <v>1</v>
          </cell>
          <cell r="E11">
            <v>3220000</v>
          </cell>
          <cell r="F11">
            <v>257600</v>
          </cell>
          <cell r="G11">
            <v>3477600</v>
          </cell>
          <cell r="H11" t="str">
            <v>Ổn áp lioa 10KVA
Model: SH 10000 dải 150v-250v 
thế hệ 1</v>
          </cell>
        </row>
        <row r="12">
          <cell r="B12" t="str">
            <v>Lưu điện cho máy tính</v>
          </cell>
          <cell r="C12" t="str">
            <v>Cái</v>
          </cell>
          <cell r="D12">
            <v>1</v>
          </cell>
          <cell r="E12">
            <v>1380000</v>
          </cell>
          <cell r="F12">
            <v>110400</v>
          </cell>
          <cell r="G12">
            <v>1490400</v>
          </cell>
          <cell r="H12" t="str">
            <v>Bộ lưu điện Line Interactive Eaton 5E650iUSB</v>
          </cell>
        </row>
        <row r="13">
          <cell r="B13" t="str">
            <v>Máy hút ẩm 2 Kw</v>
          </cell>
          <cell r="C13" t="str">
            <v>Cái</v>
          </cell>
          <cell r="D13">
            <v>1</v>
          </cell>
          <cell r="E13">
            <v>4670000</v>
          </cell>
          <cell r="F13">
            <v>373600</v>
          </cell>
          <cell r="G13">
            <v>5043600</v>
          </cell>
          <cell r="H13" t="str">
            <v>Máy hút ẩm Fujie HM 914 ec Pro</v>
          </cell>
        </row>
        <row r="14">
          <cell r="B14" t="str">
            <v>Quạt thông gió 0,04 Kw</v>
          </cell>
          <cell r="C14" t="str">
            <v>Cái</v>
          </cell>
          <cell r="D14">
            <v>1</v>
          </cell>
          <cell r="E14">
            <v>2392000</v>
          </cell>
          <cell r="F14">
            <v>191360</v>
          </cell>
          <cell r="G14">
            <v>2583360</v>
          </cell>
          <cell r="H14" t="str">
            <v>Quạt thông gió Dasin KVF 1845</v>
          </cell>
        </row>
        <row r="15">
          <cell r="B15" t="str">
            <v>Quạt trần 0,1 Kw</v>
          </cell>
          <cell r="C15" t="str">
            <v>Cái</v>
          </cell>
          <cell r="D15">
            <v>1</v>
          </cell>
          <cell r="E15">
            <v>828000</v>
          </cell>
          <cell r="F15">
            <v>66240</v>
          </cell>
          <cell r="G15">
            <v>894240</v>
          </cell>
          <cell r="H15" t="str">
            <v>Quạt trần điện cơ 91 QT 1400</v>
          </cell>
        </row>
        <row r="16">
          <cell r="B16" t="str">
            <v>Bộ đèn neon 0,04 Kw</v>
          </cell>
          <cell r="C16" t="str">
            <v>bộ</v>
          </cell>
          <cell r="D16">
            <v>1</v>
          </cell>
          <cell r="E16">
            <v>133400</v>
          </cell>
          <cell r="F16">
            <v>10672</v>
          </cell>
          <cell r="G16">
            <v>144072</v>
          </cell>
          <cell r="H16" t="str">
            <v>Theo báo giá T6/2022 kèm theo</v>
          </cell>
        </row>
        <row r="17">
          <cell r="B17" t="str">
            <v>Tủ đựng tài liệu</v>
          </cell>
          <cell r="C17" t="str">
            <v>Cái</v>
          </cell>
          <cell r="D17">
            <v>1</v>
          </cell>
          <cell r="E17">
            <v>3496000</v>
          </cell>
          <cell r="F17">
            <v>279680</v>
          </cell>
          <cell r="G17">
            <v>3775680</v>
          </cell>
          <cell r="H17" t="str">
            <v xml:space="preserve">tủ sắt Hòa Phát TU09K6D </v>
          </cell>
        </row>
        <row r="18">
          <cell r="B18" t="str">
            <v xml:space="preserve">Máy hút bụi 1,5 Kw </v>
          </cell>
          <cell r="C18" t="str">
            <v>Cái</v>
          </cell>
          <cell r="D18">
            <v>1</v>
          </cell>
          <cell r="E18">
            <v>2346000</v>
          </cell>
          <cell r="F18">
            <v>187680</v>
          </cell>
          <cell r="G18">
            <v>2533680</v>
          </cell>
          <cell r="H18" t="str">
            <v>Máy hút bụi HiCleane 30L</v>
          </cell>
        </row>
        <row r="19">
          <cell r="B19" t="str">
            <v>Máy định vị cầm tay (GPS)</v>
          </cell>
          <cell r="C19" t="str">
            <v>Cái</v>
          </cell>
          <cell r="D19">
            <v>1</v>
          </cell>
          <cell r="E19">
            <v>11040000</v>
          </cell>
          <cell r="F19">
            <v>883200</v>
          </cell>
          <cell r="G19">
            <v>11923200</v>
          </cell>
          <cell r="H19" t="str">
            <v>GPS Garmin MONTANA 680</v>
          </cell>
        </row>
        <row r="20">
          <cell r="B20" t="str">
            <v>Dụng cụ đào đất</v>
          </cell>
          <cell r="C20" t="str">
            <v>Cái</v>
          </cell>
          <cell r="D20">
            <v>1</v>
          </cell>
          <cell r="E20">
            <v>230000</v>
          </cell>
          <cell r="F20">
            <v>18400</v>
          </cell>
          <cell r="G20">
            <v>248400</v>
          </cell>
          <cell r="H20" t="str">
            <v>Xẻng đào hố, đánh bầu cây, đào đất đa năng - D12</v>
          </cell>
        </row>
        <row r="21">
          <cell r="B21" t="str">
            <v>Đồng hồ treo tường</v>
          </cell>
          <cell r="C21" t="str">
            <v>Cái</v>
          </cell>
          <cell r="D21">
            <v>1</v>
          </cell>
          <cell r="E21">
            <v>550000</v>
          </cell>
          <cell r="F21">
            <v>44000</v>
          </cell>
          <cell r="G21">
            <v>594000</v>
          </cell>
          <cell r="H21" t="str">
            <v>Đồng hồ treo tường Kashi HM352 Trắng</v>
          </cell>
        </row>
        <row r="22">
          <cell r="B22" t="str">
            <v>Màn chiếu điện</v>
          </cell>
          <cell r="C22" t="str">
            <v>Cái</v>
          </cell>
          <cell r="D22">
            <v>1</v>
          </cell>
          <cell r="E22">
            <v>1239000</v>
          </cell>
          <cell r="F22">
            <v>99120</v>
          </cell>
          <cell r="G22">
            <v>1338120</v>
          </cell>
          <cell r="H22" t="str">
            <v>Màn chiếu treo tường Dalite P70WS ( 1m78 x 1m78 ) - 100 inch</v>
          </cell>
        </row>
        <row r="23">
          <cell r="B23" t="str">
            <v>Bút trình chiếu</v>
          </cell>
          <cell r="C23" t="str">
            <v>Cái</v>
          </cell>
          <cell r="D23">
            <v>1</v>
          </cell>
          <cell r="E23">
            <v>595000</v>
          </cell>
          <cell r="F23">
            <v>47600</v>
          </cell>
          <cell r="G23">
            <v>642600</v>
          </cell>
          <cell r="H23" t="str">
            <v>Bút trình chiếu Logitech R400</v>
          </cell>
        </row>
        <row r="24">
          <cell r="B24" t="str">
            <v>Ba lô</v>
          </cell>
          <cell r="C24" t="str">
            <v>Cái</v>
          </cell>
          <cell r="D24">
            <v>1</v>
          </cell>
          <cell r="E24">
            <v>303600</v>
          </cell>
          <cell r="F24">
            <v>24288</v>
          </cell>
          <cell r="G24">
            <v>327888</v>
          </cell>
          <cell r="H24" t="str">
            <v>Ba lô du lịch thể thao nam công suất lớn phong cách hiện đại – BLN1004</v>
          </cell>
        </row>
        <row r="25">
          <cell r="B25" t="str">
            <v>Bàn dập ghim</v>
          </cell>
          <cell r="C25" t="str">
            <v>Cái</v>
          </cell>
          <cell r="D25">
            <v>1</v>
          </cell>
          <cell r="E25">
            <v>519000</v>
          </cell>
          <cell r="F25">
            <v>41520</v>
          </cell>
          <cell r="G25">
            <v>560520</v>
          </cell>
          <cell r="H25" t="str">
            <v>Dập ghim Deli, cỡ lớn 210 trang</v>
          </cell>
        </row>
        <row r="26">
          <cell r="B26" t="str">
            <v>Bình đựng nước uống</v>
          </cell>
          <cell r="C26" t="str">
            <v>Cái</v>
          </cell>
          <cell r="D26">
            <v>1</v>
          </cell>
          <cell r="E26">
            <v>110400</v>
          </cell>
          <cell r="F26">
            <v>8832</v>
          </cell>
          <cell r="G26">
            <v>119232</v>
          </cell>
          <cell r="H26" t="str">
            <v>Bình đựng nước uống Sport cup 2L</v>
          </cell>
        </row>
        <row r="27">
          <cell r="B27" t="str">
            <v>Mũ cứng</v>
          </cell>
          <cell r="C27" t="str">
            <v>Cái</v>
          </cell>
          <cell r="D27">
            <v>1</v>
          </cell>
          <cell r="E27">
            <v>125000</v>
          </cell>
          <cell r="F27">
            <v>10000</v>
          </cell>
          <cell r="G27">
            <v>135000</v>
          </cell>
          <cell r="H27" t="str">
            <v>Mũ bảo hộ lao động Sseda Hàn Quốc mặt tròn cho kĩ sư, kĩ thuật M105, Màu trắng</v>
          </cell>
        </row>
        <row r="28">
          <cell r="B28" t="str">
            <v>Giày bảo hộ</v>
          </cell>
          <cell r="C28" t="str">
            <v>Đôi</v>
          </cell>
          <cell r="D28">
            <v>1</v>
          </cell>
          <cell r="E28">
            <v>190000</v>
          </cell>
          <cell r="F28">
            <v>15200</v>
          </cell>
          <cell r="G28">
            <v>205200</v>
          </cell>
          <cell r="H28" t="str">
            <v>Giày bảo hộ lao động TD9905</v>
          </cell>
        </row>
        <row r="29">
          <cell r="B29" t="str">
            <v>Tất</v>
          </cell>
          <cell r="C29" t="str">
            <v>Đôi</v>
          </cell>
          <cell r="D29">
            <v>1</v>
          </cell>
          <cell r="E29">
            <v>10500</v>
          </cell>
          <cell r="F29">
            <v>840</v>
          </cell>
          <cell r="G29">
            <v>11340</v>
          </cell>
          <cell r="H29" t="str">
            <v>Tất Dệt Kim Hà Nội, Đá Bóng, Bộ Đội, Thể Thao, Tat Lao Động , cao cổ</v>
          </cell>
        </row>
        <row r="30">
          <cell r="B30" t="str">
            <v>Quần áo bảo hộ lao động</v>
          </cell>
          <cell r="C30" t="str">
            <v>Bộ</v>
          </cell>
          <cell r="D30">
            <v>1</v>
          </cell>
          <cell r="E30">
            <v>386400</v>
          </cell>
          <cell r="F30">
            <v>30912</v>
          </cell>
          <cell r="G30">
            <v>417312</v>
          </cell>
          <cell r="H30" t="str">
            <v>Quần áo bảo hộ lao động AKBH-VN-14</v>
          </cell>
        </row>
        <row r="31">
          <cell r="B31" t="str">
            <v>Quần áo mưa</v>
          </cell>
          <cell r="C31" t="str">
            <v>Bộ</v>
          </cell>
          <cell r="D31">
            <v>1</v>
          </cell>
          <cell r="E31">
            <v>184563</v>
          </cell>
          <cell r="F31">
            <v>14765.04</v>
          </cell>
          <cell r="G31">
            <v>199328.04</v>
          </cell>
          <cell r="H31" t="str">
            <v>Bộ áo mưa cao cấp RODALCO THỦY SƠN 2 lớp Mã 81</v>
          </cell>
        </row>
        <row r="32">
          <cell r="B32" t="str">
            <v>Ổ ghi CD 0,4 kW</v>
          </cell>
          <cell r="C32" t="str">
            <v>Cái</v>
          </cell>
          <cell r="D32">
            <v>1</v>
          </cell>
          <cell r="E32">
            <v>450000</v>
          </cell>
          <cell r="F32">
            <v>36000</v>
          </cell>
          <cell r="G32">
            <v>486000</v>
          </cell>
          <cell r="H32" t="str">
            <v>Ổ đĩa quang đọc ghi đĩa CD DVD-RW cắm ngoài USB cho Laptop, PC</v>
          </cell>
        </row>
        <row r="33">
          <cell r="B33" t="str">
            <v>Bàn dập ghim loại trung bình</v>
          </cell>
          <cell r="C33" t="str">
            <v>Cái</v>
          </cell>
          <cell r="D33">
            <v>1</v>
          </cell>
          <cell r="E33">
            <v>201000</v>
          </cell>
          <cell r="F33">
            <v>16080</v>
          </cell>
          <cell r="G33">
            <v>217080</v>
          </cell>
          <cell r="H33" t="str">
            <v>Bấm, Dập Ghim Cỡ Trung Deli 391 - Dập 60 Tờ/Lần</v>
          </cell>
        </row>
        <row r="34">
          <cell r="B34" t="str">
            <v>Bàn dập ghim loại nhỏ</v>
          </cell>
          <cell r="C34" t="str">
            <v>Cái</v>
          </cell>
          <cell r="D34">
            <v>1</v>
          </cell>
          <cell r="E34">
            <v>39500</v>
          </cell>
          <cell r="F34">
            <v>3160</v>
          </cell>
          <cell r="G34">
            <v>42660</v>
          </cell>
          <cell r="H34" t="str">
            <v>Dập Ghim Deli 10-281</v>
          </cell>
        </row>
        <row r="35">
          <cell r="B35" t="str">
            <v>Giá để tài liệu</v>
          </cell>
          <cell r="C35" t="str">
            <v>Cái</v>
          </cell>
          <cell r="D35">
            <v>1</v>
          </cell>
          <cell r="E35">
            <v>1550000</v>
          </cell>
          <cell r="F35">
            <v>124000</v>
          </cell>
          <cell r="G35">
            <v>1674000</v>
          </cell>
          <cell r="H35" t="str">
            <v>Giá thư viện Hòa Phát GS1B</v>
          </cell>
        </row>
        <row r="36">
          <cell r="B36" t="str">
            <v>Ống đựng bản đồ</v>
          </cell>
          <cell r="C36" t="str">
            <v>Cái</v>
          </cell>
          <cell r="D36">
            <v>1</v>
          </cell>
          <cell r="E36">
            <v>95000</v>
          </cell>
          <cell r="F36">
            <v>7600</v>
          </cell>
          <cell r="G36">
            <v>102600</v>
          </cell>
          <cell r="H36" t="str">
            <v>Ống Đựng Giấy Vẽ Khổ Giấy A0 A1 Dài</v>
          </cell>
        </row>
        <row r="37">
          <cell r="B37" t="str">
            <v>Thước eke loại trung bình</v>
          </cell>
          <cell r="C37" t="str">
            <v>Cái</v>
          </cell>
          <cell r="D37">
            <v>1</v>
          </cell>
          <cell r="E37">
            <v>16500</v>
          </cell>
          <cell r="F37">
            <v>1320</v>
          </cell>
          <cell r="G37">
            <v>17820</v>
          </cell>
          <cell r="H37" t="str">
            <v>Thước eke trung 18cm Deli 6420 - 2 cây/ bộ</v>
          </cell>
        </row>
        <row r="38">
          <cell r="B38" t="str">
            <v>Thước nhựa 120 cm</v>
          </cell>
          <cell r="C38" t="str">
            <v>Cái</v>
          </cell>
          <cell r="D38">
            <v>1</v>
          </cell>
          <cell r="E38">
            <v>194383</v>
          </cell>
          <cell r="F38">
            <v>15550.64</v>
          </cell>
          <cell r="G38">
            <v>209933.64</v>
          </cell>
          <cell r="H38" t="str">
            <v>Thước kẻ trong suốt 60cm/1.25m</v>
          </cell>
        </row>
        <row r="39">
          <cell r="B39" t="str">
            <v>Thước cuộn vải 50 m</v>
          </cell>
          <cell r="C39" t="str">
            <v>Cái</v>
          </cell>
          <cell r="D39">
            <v>1</v>
          </cell>
          <cell r="E39">
            <v>164000</v>
          </cell>
          <cell r="F39">
            <v>13120</v>
          </cell>
          <cell r="G39">
            <v>177120</v>
          </cell>
          <cell r="H39" t="str">
            <v>Thước cuộn Asaki AK-393</v>
          </cell>
        </row>
        <row r="40">
          <cell r="B40" t="str">
            <v>Sạc pin</v>
          </cell>
          <cell r="C40" t="str">
            <v>Cái</v>
          </cell>
          <cell r="D40">
            <v>1</v>
          </cell>
          <cell r="E40">
            <v>390000</v>
          </cell>
          <cell r="F40">
            <v>31200</v>
          </cell>
          <cell r="G40">
            <v>421200</v>
          </cell>
          <cell r="H40" t="str">
            <v>panasonic-cc51-aa-aaa</v>
          </cell>
        </row>
        <row r="41">
          <cell r="B41" t="str">
            <v>Máy tính bảng</v>
          </cell>
          <cell r="C41" t="str">
            <v>Cái</v>
          </cell>
          <cell r="D41">
            <v>1</v>
          </cell>
          <cell r="E41">
            <v>8590000</v>
          </cell>
          <cell r="F41">
            <v>687200</v>
          </cell>
          <cell r="G41">
            <v>9277200</v>
          </cell>
          <cell r="H41" t="str">
            <v>iPad A16 Wifi 128GB 2025</v>
          </cell>
        </row>
        <row r="42">
          <cell r="B42" t="str">
            <v>Pin máy ảnh kỹ thuật số và máy định vị</v>
          </cell>
          <cell r="C42" t="str">
            <v>Đôi</v>
          </cell>
          <cell r="D42">
            <v>1</v>
          </cell>
          <cell r="E42">
            <v>95000</v>
          </cell>
          <cell r="F42">
            <v>7600</v>
          </cell>
          <cell r="G42">
            <v>102600</v>
          </cell>
          <cell r="H42" t="str">
            <v>Pin sạc 3A ( AAA ) Camelion 1100mah</v>
          </cell>
        </row>
        <row r="43">
          <cell r="B43" t="str">
            <v>Vật Liệu</v>
          </cell>
        </row>
        <row r="44">
          <cell r="B44" t="str">
            <v>USB (4G)</v>
          </cell>
          <cell r="C44" t="str">
            <v>Cái</v>
          </cell>
          <cell r="D44">
            <v>1</v>
          </cell>
          <cell r="E44">
            <v>90000</v>
          </cell>
          <cell r="F44">
            <v>7200</v>
          </cell>
          <cell r="G44">
            <v>97200</v>
          </cell>
          <cell r="H44" t="str">
            <v>usb 4g Panram</v>
          </cell>
        </row>
        <row r="45">
          <cell r="B45" t="str">
            <v>USB (32G)</v>
          </cell>
          <cell r="C45" t="str">
            <v>Cái</v>
          </cell>
          <cell r="D45">
            <v>1</v>
          </cell>
          <cell r="E45">
            <v>179000</v>
          </cell>
          <cell r="F45">
            <v>14320</v>
          </cell>
          <cell r="G45">
            <v>193320</v>
          </cell>
          <cell r="H45" t="str">
            <v>USB 3.1 SanDisk Ultra Luxe CZ74 32GB</v>
          </cell>
        </row>
        <row r="46">
          <cell r="B46" t="str">
            <v>Đĩa CD</v>
          </cell>
          <cell r="C46" t="str">
            <v>Cái</v>
          </cell>
          <cell r="D46">
            <v>1</v>
          </cell>
          <cell r="E46">
            <v>7400</v>
          </cell>
          <cell r="F46">
            <v>592</v>
          </cell>
          <cell r="G46">
            <v>7992</v>
          </cell>
          <cell r="H46" t="str">
            <v>Đĩa CD trắng Maxell</v>
          </cell>
        </row>
        <row r="47">
          <cell r="B47" t="str">
            <v>Mực in A3 Laser</v>
          </cell>
          <cell r="C47" t="str">
            <v>Hộp</v>
          </cell>
          <cell r="D47">
            <v>1</v>
          </cell>
          <cell r="E47">
            <v>850000</v>
          </cell>
          <cell r="F47">
            <v>68000</v>
          </cell>
          <cell r="G47">
            <v>918000</v>
          </cell>
          <cell r="H47" t="str">
            <v>Mực tương thích 309</v>
          </cell>
        </row>
        <row r="48">
          <cell r="B48" t="str">
            <v>Mực in A4 Laser</v>
          </cell>
          <cell r="C48" t="str">
            <v>Hộp</v>
          </cell>
          <cell r="D48">
            <v>1</v>
          </cell>
          <cell r="E48">
            <v>300000</v>
          </cell>
          <cell r="F48">
            <v>24000</v>
          </cell>
          <cell r="G48">
            <v>324000</v>
          </cell>
          <cell r="H48" t="str">
            <v>Mực 303 - Numberone</v>
          </cell>
        </row>
        <row r="49">
          <cell r="B49" t="str">
            <v>Mực in màu A4</v>
          </cell>
          <cell r="C49" t="str">
            <v>hộp</v>
          </cell>
          <cell r="D49">
            <v>1</v>
          </cell>
          <cell r="E49">
            <v>120000</v>
          </cell>
          <cell r="F49">
            <v>9600</v>
          </cell>
          <cell r="G49">
            <v>129600</v>
          </cell>
          <cell r="H49" t="str">
            <v>Mực nạp</v>
          </cell>
        </row>
        <row r="50">
          <cell r="B50" t="str">
            <v>Mực in màu A3</v>
          </cell>
          <cell r="C50" t="str">
            <v>Bộ</v>
          </cell>
          <cell r="D50">
            <v>1</v>
          </cell>
          <cell r="E50">
            <v>1190000</v>
          </cell>
          <cell r="F50">
            <v>95200</v>
          </cell>
          <cell r="G50">
            <v>1285200</v>
          </cell>
          <cell r="H50" t="str">
            <v>Bộ mực in chính hãng Canon ix6770</v>
          </cell>
        </row>
        <row r="51">
          <cell r="B51" t="str">
            <v xml:space="preserve">Mực in Ploter (06 hộp) </v>
          </cell>
          <cell r="C51" t="str">
            <v>Bộ (6 hộp)</v>
          </cell>
          <cell r="D51">
            <v>1</v>
          </cell>
          <cell r="E51">
            <v>4140000</v>
          </cell>
          <cell r="F51">
            <v>331200</v>
          </cell>
          <cell r="G51">
            <v>4471200</v>
          </cell>
          <cell r="H51" t="str">
            <v>HP 711 29-ml</v>
          </cell>
        </row>
        <row r="52">
          <cell r="B52" t="str">
            <v>Mực phô tô</v>
          </cell>
          <cell r="C52" t="str">
            <v>Hộp</v>
          </cell>
          <cell r="D52">
            <v>1</v>
          </cell>
          <cell r="E52">
            <v>385000</v>
          </cell>
          <cell r="F52">
            <v>30800</v>
          </cell>
          <cell r="G52">
            <v>415800</v>
          </cell>
          <cell r="H52" t="str">
            <v>Sharp AR-6031NV</v>
          </cell>
        </row>
        <row r="53">
          <cell r="B53" t="str">
            <v>Đầu phun màu A0</v>
          </cell>
          <cell r="C53" t="str">
            <v>Cái</v>
          </cell>
          <cell r="D53">
            <v>1</v>
          </cell>
          <cell r="E53">
            <v>4990740.7407407407</v>
          </cell>
          <cell r="F53">
            <v>399259.25925925927</v>
          </cell>
          <cell r="G53">
            <v>5390000</v>
          </cell>
          <cell r="H53" t="str">
            <v>Đầu phun HP DesignJet T120</v>
          </cell>
        </row>
        <row r="54">
          <cell r="B54" t="str">
            <v>Đầu phun màu A3</v>
          </cell>
          <cell r="C54" t="str">
            <v>Cái</v>
          </cell>
          <cell r="D54">
            <v>1</v>
          </cell>
          <cell r="E54">
            <v>1780000</v>
          </cell>
          <cell r="F54">
            <v>142400</v>
          </cell>
          <cell r="G54">
            <v>1922400</v>
          </cell>
          <cell r="H54" t="str">
            <v>Đầu Phun Cho Máy In Phun Canon Ix6770</v>
          </cell>
        </row>
        <row r="55">
          <cell r="B55" t="str">
            <v>Đầu phun màu A4</v>
          </cell>
          <cell r="C55" t="str">
            <v>Cái</v>
          </cell>
          <cell r="D55">
            <v>1</v>
          </cell>
          <cell r="E55">
            <v>2500000</v>
          </cell>
          <cell r="F55">
            <v>200000</v>
          </cell>
          <cell r="G55">
            <v>2700000</v>
          </cell>
          <cell r="H55" t="str">
            <v>Đầu phun máy in EPSON L6170</v>
          </cell>
        </row>
        <row r="56">
          <cell r="B56" t="str">
            <v>Giấy A3</v>
          </cell>
          <cell r="C56" t="str">
            <v>Gram</v>
          </cell>
          <cell r="D56">
            <v>1</v>
          </cell>
          <cell r="E56">
            <v>124200</v>
          </cell>
          <cell r="F56">
            <v>9936</v>
          </cell>
          <cell r="G56">
            <v>134136</v>
          </cell>
          <cell r="H56" t="str">
            <v>Giấy A3 IK Plus 70 Gsm</v>
          </cell>
        </row>
        <row r="57">
          <cell r="B57" t="str">
            <v xml:space="preserve">Giấy A4 </v>
          </cell>
          <cell r="C57" t="str">
            <v>Gram</v>
          </cell>
          <cell r="D57">
            <v>1</v>
          </cell>
          <cell r="E57">
            <v>64400</v>
          </cell>
          <cell r="F57">
            <v>5152</v>
          </cell>
          <cell r="G57">
            <v>69552</v>
          </cell>
          <cell r="H57" t="str">
            <v>Giấy A4 IK Plus D170</v>
          </cell>
        </row>
        <row r="58">
          <cell r="B58" t="str">
            <v>Giấy in A0</v>
          </cell>
          <cell r="C58" t="str">
            <v>cuộn</v>
          </cell>
          <cell r="D58">
            <v>1</v>
          </cell>
          <cell r="E58">
            <v>201480</v>
          </cell>
          <cell r="F58">
            <v>16118.4</v>
          </cell>
          <cell r="G58">
            <v>217598.4</v>
          </cell>
          <cell r="H58" t="str">
            <v>Giấy in A0 (50 tờ định lượng lOOgsm)</v>
          </cell>
        </row>
        <row r="59">
          <cell r="B59" t="str">
            <v>Thước dây 100 m</v>
          </cell>
          <cell r="C59" t="str">
            <v>Cái</v>
          </cell>
          <cell r="D59">
            <v>1</v>
          </cell>
          <cell r="E59">
            <v>469200</v>
          </cell>
          <cell r="F59">
            <v>37536</v>
          </cell>
          <cell r="G59">
            <v>506736</v>
          </cell>
          <cell r="H59" t="str">
            <v>Thước dây 100m Truper</v>
          </cell>
        </row>
        <row r="60">
          <cell r="B60" t="str">
            <v>Thùng tôn đựng tài liệu</v>
          </cell>
          <cell r="C60" t="str">
            <v>thùng</v>
          </cell>
          <cell r="D60">
            <v>1</v>
          </cell>
          <cell r="E60">
            <v>239200</v>
          </cell>
          <cell r="F60">
            <v>19136</v>
          </cell>
          <cell r="G60">
            <v>258336</v>
          </cell>
          <cell r="H60" t="str">
            <v>Thùng tôn đựng tài liệu (62x38x25)</v>
          </cell>
        </row>
        <row r="61">
          <cell r="B61" t="str">
            <v>Băng dính to</v>
          </cell>
          <cell r="C61" t="str">
            <v>Cuộn</v>
          </cell>
          <cell r="D61">
            <v>1</v>
          </cell>
          <cell r="E61">
            <v>25000</v>
          </cell>
          <cell r="F61">
            <v>2000</v>
          </cell>
          <cell r="G61">
            <v>27000</v>
          </cell>
          <cell r="H61" t="str">
            <v>Băng dính trắng cuộn to siêu dính</v>
          </cell>
        </row>
        <row r="62">
          <cell r="B62" t="str">
            <v>Gọt bút chì</v>
          </cell>
          <cell r="C62" t="str">
            <v>Cái</v>
          </cell>
          <cell r="D62">
            <v>1</v>
          </cell>
          <cell r="E62">
            <v>23900</v>
          </cell>
          <cell r="F62">
            <v>1912</v>
          </cell>
          <cell r="G62">
            <v>25812</v>
          </cell>
          <cell r="H62" t="str">
            <v xml:space="preserve">Gọt bút chì cao cấp Deli 0596 hợp kim kẽm </v>
          </cell>
        </row>
        <row r="63">
          <cell r="B63" t="str">
            <v>Kéo cắt giấy</v>
          </cell>
          <cell r="C63" t="str">
            <v>Cái</v>
          </cell>
          <cell r="D63">
            <v>1</v>
          </cell>
          <cell r="E63">
            <v>38700</v>
          </cell>
          <cell r="F63">
            <v>3096</v>
          </cell>
          <cell r="G63">
            <v>41796</v>
          </cell>
          <cell r="H63" t="str">
            <v>Kéo Văn Phòng Deli 210mm 6010</v>
          </cell>
        </row>
        <row r="64">
          <cell r="B64" t="str">
            <v>Bút bi</v>
          </cell>
          <cell r="C64" t="str">
            <v>Cái</v>
          </cell>
          <cell r="D64">
            <v>1</v>
          </cell>
          <cell r="E64">
            <v>14500</v>
          </cell>
          <cell r="F64">
            <v>1160</v>
          </cell>
          <cell r="G64">
            <v>15660</v>
          </cell>
          <cell r="H64" t="str">
            <v>Bút Bi 0.7 mm Thiên Long TL-036 - Mực Xanh</v>
          </cell>
        </row>
        <row r="65">
          <cell r="B65" t="str">
            <v>Bút bi nước My gel</v>
          </cell>
          <cell r="C65" t="str">
            <v>Cái</v>
          </cell>
          <cell r="D65">
            <v>1</v>
          </cell>
          <cell r="E65">
            <v>11500</v>
          </cell>
          <cell r="F65">
            <v>920</v>
          </cell>
          <cell r="G65">
            <v>12420</v>
          </cell>
          <cell r="H65" t="str">
            <v>Viết Nước My-Gel Đông A - Mực Xanh</v>
          </cell>
        </row>
        <row r="66">
          <cell r="B66" t="str">
            <v>Bút chì</v>
          </cell>
          <cell r="C66" t="str">
            <v>Cái</v>
          </cell>
          <cell r="D66">
            <v>1</v>
          </cell>
          <cell r="E66">
            <v>4500</v>
          </cell>
          <cell r="F66">
            <v>360</v>
          </cell>
          <cell r="G66">
            <v>4860</v>
          </cell>
          <cell r="H66" t="str">
            <v>Bút Chì Gỗ 2B Thiên Long GP-018 - Thân Vàng</v>
          </cell>
        </row>
        <row r="67">
          <cell r="B67" t="str">
            <v>Bút chì kim</v>
          </cell>
          <cell r="C67" t="str">
            <v>Cái</v>
          </cell>
          <cell r="D67">
            <v>1</v>
          </cell>
          <cell r="E67">
            <v>30000</v>
          </cell>
          <cell r="F67">
            <v>2400</v>
          </cell>
          <cell r="G67">
            <v>32400</v>
          </cell>
          <cell r="H67" t="str">
            <v>Bút chì kim Deli 0.5mm</v>
          </cell>
        </row>
        <row r="68">
          <cell r="B68" t="str">
            <v>Bút dạ màu</v>
          </cell>
          <cell r="C68" t="str">
            <v>Cái</v>
          </cell>
          <cell r="D68">
            <v>1</v>
          </cell>
          <cell r="E68">
            <v>19000</v>
          </cell>
          <cell r="F68">
            <v>1520</v>
          </cell>
          <cell r="G68">
            <v>20520</v>
          </cell>
          <cell r="H68" t="str">
            <v>Bút dạ màu 12 màu Deli C10003</v>
          </cell>
        </row>
        <row r="69">
          <cell r="B69" t="str">
            <v>Bút nhớ dòng</v>
          </cell>
          <cell r="C69" t="str">
            <v>Cái</v>
          </cell>
          <cell r="D69">
            <v>1</v>
          </cell>
          <cell r="E69">
            <v>25000</v>
          </cell>
          <cell r="F69">
            <v>2000</v>
          </cell>
          <cell r="G69">
            <v>27000</v>
          </cell>
          <cell r="H69" t="str">
            <v>Bút Đánh Dấu Dòng Staedtler 364 C-530</v>
          </cell>
        </row>
        <row r="70">
          <cell r="B70" t="str">
            <v>Bút xóa</v>
          </cell>
          <cell r="C70" t="str">
            <v>Cái</v>
          </cell>
          <cell r="D70">
            <v>1</v>
          </cell>
          <cell r="E70">
            <v>30500</v>
          </cell>
          <cell r="F70">
            <v>2440</v>
          </cell>
          <cell r="G70">
            <v>32940</v>
          </cell>
          <cell r="H70" t="str">
            <v>Bút xóa nước Thiên Long - CP02</v>
          </cell>
        </row>
        <row r="71">
          <cell r="B71" t="str">
            <v>Cặp 3 dây</v>
          </cell>
          <cell r="C71" t="str">
            <v>Cái</v>
          </cell>
          <cell r="D71">
            <v>1</v>
          </cell>
          <cell r="E71">
            <v>6000</v>
          </cell>
          <cell r="F71">
            <v>480</v>
          </cell>
          <cell r="G71">
            <v>6480</v>
          </cell>
          <cell r="H71" t="str">
            <v>Cặp 3 dây giấy 7 cm</v>
          </cell>
        </row>
        <row r="72">
          <cell r="B72" t="str">
            <v>Ghim dập</v>
          </cell>
          <cell r="C72" t="str">
            <v>Hộp</v>
          </cell>
          <cell r="D72">
            <v>1</v>
          </cell>
          <cell r="E72">
            <v>3000</v>
          </cell>
          <cell r="F72">
            <v>240</v>
          </cell>
          <cell r="G72">
            <v>3240</v>
          </cell>
          <cell r="H72" t="str">
            <v>Ghim bấm số 10 Double A</v>
          </cell>
        </row>
        <row r="73">
          <cell r="B73" t="str">
            <v>Ghim vòng</v>
          </cell>
          <cell r="C73" t="str">
            <v>Hộp</v>
          </cell>
          <cell r="D73">
            <v>1</v>
          </cell>
          <cell r="E73">
            <v>18000</v>
          </cell>
          <cell r="F73">
            <v>1440</v>
          </cell>
          <cell r="G73">
            <v>19440</v>
          </cell>
          <cell r="H73" t="str">
            <v>Ghim cài C62, ghim vòng</v>
          </cell>
        </row>
        <row r="74">
          <cell r="B74" t="str">
            <v>Hồ dán khô</v>
          </cell>
          <cell r="C74" t="str">
            <v>Hộp</v>
          </cell>
          <cell r="D74">
            <v>1</v>
          </cell>
          <cell r="E74">
            <v>15000</v>
          </cell>
          <cell r="F74">
            <v>1200</v>
          </cell>
          <cell r="G74">
            <v>16200</v>
          </cell>
          <cell r="H74" t="str">
            <v>Hồ khô Double A</v>
          </cell>
        </row>
        <row r="75">
          <cell r="B75" t="str">
            <v>Sổ ghi chép</v>
          </cell>
          <cell r="C75" t="str">
            <v>Cuốn</v>
          </cell>
          <cell r="D75">
            <v>1</v>
          </cell>
          <cell r="E75">
            <v>19500</v>
          </cell>
          <cell r="F75">
            <v>1560</v>
          </cell>
          <cell r="G75">
            <v>21060</v>
          </cell>
          <cell r="H75" t="str">
            <v>In sổ note A4 gáy lò xo</v>
          </cell>
        </row>
        <row r="76">
          <cell r="B76" t="str">
            <v>Tẩy chì</v>
          </cell>
          <cell r="C76" t="str">
            <v>Cái</v>
          </cell>
          <cell r="D76">
            <v>1</v>
          </cell>
          <cell r="E76">
            <v>8000</v>
          </cell>
          <cell r="F76">
            <v>640</v>
          </cell>
          <cell r="G76">
            <v>8640</v>
          </cell>
          <cell r="H76" t="str">
            <v>Tẩy Gôm Standard Campus ER-STA-30 - Trắng</v>
          </cell>
        </row>
        <row r="77">
          <cell r="B77" t="str">
            <v>Thước nhựa 40 cm</v>
          </cell>
          <cell r="C77" t="str">
            <v>Cái</v>
          </cell>
          <cell r="D77">
            <v>1</v>
          </cell>
          <cell r="E77">
            <v>29500</v>
          </cell>
          <cell r="F77">
            <v>2360</v>
          </cell>
          <cell r="G77">
            <v>31860</v>
          </cell>
          <cell r="H77" t="str">
            <v>Thước Kẻ 40 Cm Baoke RU2040</v>
          </cell>
        </row>
        <row r="78">
          <cell r="B78" t="str">
            <v>Cặp đựng tài liệu</v>
          </cell>
          <cell r="C78" t="str">
            <v>Cái</v>
          </cell>
          <cell r="D78">
            <v>1</v>
          </cell>
          <cell r="E78">
            <v>50000</v>
          </cell>
          <cell r="F78">
            <v>4000</v>
          </cell>
          <cell r="G78">
            <v>54000</v>
          </cell>
          <cell r="H78" t="str">
            <v>File 40 Lá Double A</v>
          </cell>
        </row>
        <row r="79">
          <cell r="B79" t="str">
            <v>Ổ cứng gắn ngoài (2TB)</v>
          </cell>
          <cell r="C79" t="str">
            <v>Cái</v>
          </cell>
          <cell r="D79">
            <v>1</v>
          </cell>
          <cell r="E79">
            <v>2599000</v>
          </cell>
          <cell r="F79">
            <v>207920</v>
          </cell>
          <cell r="G79">
            <v>2806920</v>
          </cell>
          <cell r="H79" t="str">
            <v>Ổ cứng gắn ngoài 2TB USB 3.0 2.5 inch Seagate One Touch Xám - STKY2000404</v>
          </cell>
        </row>
        <row r="80">
          <cell r="B80" t="str">
            <v>Túi nylông (clear)</v>
          </cell>
          <cell r="C80" t="str">
            <v>Cái</v>
          </cell>
          <cell r="D80">
            <v>1</v>
          </cell>
          <cell r="E80">
            <v>5000</v>
          </cell>
          <cell r="F80">
            <v>400</v>
          </cell>
          <cell r="G80">
            <v>5400</v>
          </cell>
          <cell r="H80" t="str">
            <v>Túi Cúc -Túi Clear Khổ F </v>
          </cell>
        </row>
        <row r="81">
          <cell r="B81" t="str">
            <v>Nhiên liệu, Năng Lượng</v>
          </cell>
        </row>
        <row r="82">
          <cell r="B82" t="str">
            <v>Xăng</v>
          </cell>
          <cell r="C82" t="str">
            <v>Lít</v>
          </cell>
          <cell r="D82">
            <v>1</v>
          </cell>
          <cell r="E82">
            <v>19600</v>
          </cell>
          <cell r="F82">
            <v>1568</v>
          </cell>
          <cell r="G82">
            <v>21168</v>
          </cell>
          <cell r="H82" t="str">
            <v>Xăng E10 RON 95-III</v>
          </cell>
        </row>
        <row r="83">
          <cell r="B83" t="str">
            <v>Dầu nhờn</v>
          </cell>
          <cell r="C83" t="str">
            <v>Hộp/lít</v>
          </cell>
          <cell r="D83">
            <v>1</v>
          </cell>
          <cell r="E83">
            <v>92000</v>
          </cell>
          <cell r="F83">
            <v>7360</v>
          </cell>
          <cell r="G83">
            <v>99360</v>
          </cell>
          <cell r="H83" t="str">
            <v>Nhớt xe số Castrol Activ 4T 20W40 800ml</v>
          </cell>
        </row>
        <row r="84">
          <cell r="B84" t="str">
            <v>Điện</v>
          </cell>
          <cell r="D84">
            <v>1</v>
          </cell>
          <cell r="E84">
            <v>2226</v>
          </cell>
          <cell r="F84">
            <v>178.08</v>
          </cell>
          <cell r="G84">
            <v>2404.08</v>
          </cell>
          <cell r="H84" t="str">
            <v>Biểu giá bán buôn điện (theo Quyết định số 1279/QĐ-BCT ngày 09/5/2025 của Bộ Công Thương)- đơn vị hành chính sự nghiệp dưới 6Kv</v>
          </cell>
        </row>
        <row r="85">
          <cell r="B85" t="str">
            <v>Thiết bị, máy móc</v>
          </cell>
        </row>
        <row r="86">
          <cell r="B86" t="str">
            <v xml:space="preserve">Máy vi tính </v>
          </cell>
          <cell r="C86" t="str">
            <v>Bộ</v>
          </cell>
          <cell r="D86">
            <v>1</v>
          </cell>
          <cell r="E86">
            <v>11000000</v>
          </cell>
          <cell r="F86">
            <v>880000</v>
          </cell>
          <cell r="G86">
            <v>11880000</v>
          </cell>
          <cell r="H86" t="str">
            <v>Máy tính đồng bộ Dell Vostro 3888
CPU: Intel Core 13-10100 (3.60GHz upto 4.30GHz, 4 Cores 8 Threads, 6MB Cache)
RAM: 4GB (4Gxl) DDR4 2666MHz (x2 slot)
Ỏ cứng: 1TB 7200rpm 3.5” SATA HDD (xl SSD M2 PCIE )
VGA: Intel® UHD Graphics 630 Hệ điều hành: Windows 10 Home DVDRW: Không có
Mor LCD 20” Dell</v>
          </cell>
        </row>
        <row r="87">
          <cell r="B87" t="str">
            <v>Máy điều hoà nhiệt độ</v>
          </cell>
          <cell r="C87" t="str">
            <v>Bộ</v>
          </cell>
          <cell r="D87">
            <v>1</v>
          </cell>
          <cell r="E87">
            <v>14710800</v>
          </cell>
          <cell r="F87">
            <v>1176864</v>
          </cell>
          <cell r="G87">
            <v>15887664</v>
          </cell>
          <cell r="H87" t="str">
            <v>Panasonic  2 chiều Inverter 9000BTU XZ9XKH-8</v>
          </cell>
        </row>
        <row r="88">
          <cell r="B88" t="str">
            <v>Máy tính xách tay</v>
          </cell>
          <cell r="C88" t="str">
            <v>Cái</v>
          </cell>
          <cell r="D88">
            <v>1</v>
          </cell>
          <cell r="E88">
            <v>13372000</v>
          </cell>
          <cell r="F88">
            <v>1069760</v>
          </cell>
          <cell r="G88">
            <v>14441760</v>
          </cell>
          <cell r="H88" t="str">
            <v>Laptop HP 240 G8 i5 1135G7</v>
          </cell>
        </row>
        <row r="89">
          <cell r="B89" t="str">
            <v>Máy scan A0</v>
          </cell>
          <cell r="C89" t="str">
            <v>Cái</v>
          </cell>
          <cell r="D89">
            <v>1</v>
          </cell>
          <cell r="E89">
            <v>122601500</v>
          </cell>
          <cell r="F89">
            <v>9808120</v>
          </cell>
          <cell r="G89">
            <v>132409620</v>
          </cell>
          <cell r="H89" t="str">
            <v>Máy quét khổ giấy A0 COLORTRAC SMARTLF SC Xpress 36m trắng đen</v>
          </cell>
        </row>
        <row r="90">
          <cell r="B90" t="str">
            <v>Máy scan A4</v>
          </cell>
          <cell r="C90" t="str">
            <v>Cái</v>
          </cell>
          <cell r="D90">
            <v>1</v>
          </cell>
          <cell r="E90">
            <v>7820000</v>
          </cell>
          <cell r="F90">
            <v>625600</v>
          </cell>
          <cell r="G90">
            <v>8445600</v>
          </cell>
          <cell r="H90" t="str">
            <v>Máy ScanJet Pro 3000 S4 (6FW07A)</v>
          </cell>
        </row>
        <row r="91">
          <cell r="B91" t="str">
            <v>Máy in A3</v>
          </cell>
          <cell r="C91" t="str">
            <v>Cái</v>
          </cell>
          <cell r="D91">
            <v>1</v>
          </cell>
          <cell r="E91">
            <v>22236000</v>
          </cell>
          <cell r="F91">
            <v>1778880</v>
          </cell>
          <cell r="G91">
            <v>24014880</v>
          </cell>
          <cell r="H91" t="str">
            <v>Máy in Laser đen trắng A3 Canon LBP8100n</v>
          </cell>
        </row>
        <row r="92">
          <cell r="B92" t="str">
            <v>Máy in màu A3</v>
          </cell>
          <cell r="C92" t="str">
            <v>Cái</v>
          </cell>
          <cell r="D92">
            <v>1</v>
          </cell>
          <cell r="E92">
            <v>5800000</v>
          </cell>
          <cell r="F92">
            <v>464000</v>
          </cell>
          <cell r="G92">
            <v>6264000</v>
          </cell>
          <cell r="H92" t="str">
            <v>Máy in Canon PIXMA iX6770</v>
          </cell>
        </row>
        <row r="93">
          <cell r="B93" t="str">
            <v>Máy in màu A4</v>
          </cell>
          <cell r="C93" t="str">
            <v>Cái</v>
          </cell>
          <cell r="D93">
            <v>1</v>
          </cell>
          <cell r="E93">
            <v>7360000</v>
          </cell>
          <cell r="F93">
            <v>588800</v>
          </cell>
          <cell r="G93">
            <v>7948800</v>
          </cell>
          <cell r="H93" t="str">
            <v>Máy in phun màu đa chức năng không dây EPSON L1670</v>
          </cell>
        </row>
        <row r="94">
          <cell r="B94" t="str">
            <v>Máy in A4</v>
          </cell>
          <cell r="C94" t="str">
            <v>Cái</v>
          </cell>
          <cell r="D94">
            <v>1</v>
          </cell>
          <cell r="E94">
            <v>6164000</v>
          </cell>
          <cell r="F94">
            <v>493120</v>
          </cell>
          <cell r="G94">
            <v>6657120</v>
          </cell>
          <cell r="H94" t="str">
            <v>Máy in Canon LBP 226DW</v>
          </cell>
        </row>
        <row r="95">
          <cell r="B95" t="str">
            <v>Máy in Plotter</v>
          </cell>
          <cell r="C95" t="str">
            <v>Cái</v>
          </cell>
          <cell r="D95">
            <v>1</v>
          </cell>
          <cell r="E95">
            <v>28050000</v>
          </cell>
          <cell r="F95">
            <v>2244000</v>
          </cell>
          <cell r="G95">
            <v>30294000</v>
          </cell>
          <cell r="H95" t="str">
            <v>Máy in màu khổ lớn HP DesignJet T120 24-in Printer</v>
          </cell>
        </row>
        <row r="96">
          <cell r="B96" t="str">
            <v>Máy chiếu Projector</v>
          </cell>
          <cell r="C96" t="str">
            <v>Cái</v>
          </cell>
          <cell r="D96">
            <v>1</v>
          </cell>
          <cell r="E96">
            <v>19320000</v>
          </cell>
          <cell r="F96">
            <v>1545600</v>
          </cell>
          <cell r="G96">
            <v>20865600</v>
          </cell>
          <cell r="H96" t="str">
            <v>MÁY CHIẾU SONY VPL-EX575 -4200 ANSI LUMENS</v>
          </cell>
        </row>
        <row r="97">
          <cell r="B97" t="str">
            <v>Máy phô tô</v>
          </cell>
          <cell r="C97" t="str">
            <v>Cái</v>
          </cell>
          <cell r="D97">
            <v>1</v>
          </cell>
          <cell r="E97">
            <v>44454000</v>
          </cell>
          <cell r="F97">
            <v>3556320</v>
          </cell>
          <cell r="G97">
            <v>48010320</v>
          </cell>
          <cell r="H97" t="str">
            <v xml:space="preserve">Máy photocopy Sharp AR-6031NV </v>
          </cell>
        </row>
        <row r="98">
          <cell r="B98" t="str">
            <v xml:space="preserve">Máy ảnh kĩ thuật số </v>
          </cell>
          <cell r="C98" t="str">
            <v>Cái</v>
          </cell>
          <cell r="D98">
            <v>1</v>
          </cell>
          <cell r="E98">
            <v>2268519</v>
          </cell>
          <cell r="F98">
            <v>181481</v>
          </cell>
          <cell r="G98">
            <v>2450000</v>
          </cell>
          <cell r="H98" t="str">
            <v>Canon IXUS 185 đen - Trung Quốc</v>
          </cell>
        </row>
        <row r="99">
          <cell r="B99" t="str">
            <v>Máy quay phim</v>
          </cell>
          <cell r="C99" t="str">
            <v>Cái</v>
          </cell>
          <cell r="D99">
            <v>1</v>
          </cell>
          <cell r="E99">
            <v>64900000</v>
          </cell>
          <cell r="F99">
            <v>5192000</v>
          </cell>
          <cell r="G99">
            <v>70092000</v>
          </cell>
          <cell r="H99" t="str">
            <v>may-quay-sony-xdcam-pxwz90</v>
          </cell>
        </row>
        <row r="100">
          <cell r="B100" t="str">
            <v>Bộ máy tính cấu hình cao</v>
          </cell>
          <cell r="C100" t="str">
            <v>Cái</v>
          </cell>
          <cell r="D100">
            <v>1</v>
          </cell>
          <cell r="E100">
            <v>31000000</v>
          </cell>
          <cell r="F100">
            <v>2480000</v>
          </cell>
          <cell r="G100">
            <v>33480000</v>
          </cell>
          <cell r="H100" t="str">
            <v>Máy tính trạm Dell Precision 3680 Tower/ i7-14700/ 2x8GB DDR5/ 256GB SSD + 2TB SATA/ NVIDIA T400 4GB/ 300W/ K + M/ Ubuntu/ ProSupport 3Yrs &amp; KYHD</v>
          </cell>
        </row>
        <row r="101">
          <cell r="B101" t="str">
            <v>Ô tô bán tải</v>
          </cell>
          <cell r="C101" t="str">
            <v>Cái</v>
          </cell>
          <cell r="D101">
            <v>1</v>
          </cell>
          <cell r="E101">
            <v>629629630</v>
          </cell>
          <cell r="F101">
            <v>50370370</v>
          </cell>
          <cell r="G101">
            <v>680000000</v>
          </cell>
          <cell r="H101" t="str">
            <v>Mitsubíhi Triton 2 cầu số sàn 4x4 MT - Thái Lan</v>
          </cell>
        </row>
        <row r="102">
          <cell r="B102" t="str">
            <v>Ô tô 7 chỗ</v>
          </cell>
          <cell r="C102" t="str">
            <v>Cái</v>
          </cell>
          <cell r="D102">
            <v>1</v>
          </cell>
          <cell r="E102">
            <v>759000000</v>
          </cell>
          <cell r="F102">
            <v>50370370</v>
          </cell>
          <cell r="G102">
            <v>680000000</v>
          </cell>
          <cell r="H102" t="str">
            <v>Ford Territory Trend</v>
          </cell>
        </row>
        <row r="103">
          <cell r="B103" t="str">
            <v>Khoan lấy mẫu đất</v>
          </cell>
          <cell r="C103" t="str">
            <v>Bộ</v>
          </cell>
          <cell r="D103">
            <v>1</v>
          </cell>
          <cell r="E103">
            <v>37037037</v>
          </cell>
          <cell r="F103">
            <v>2962963</v>
          </cell>
          <cell r="G103">
            <v>40000000</v>
          </cell>
          <cell r="H103" t="str">
            <v>Bộ lấy mẫu đất 04.02.SA Eijkelkamp</v>
          </cell>
        </row>
        <row r="104">
          <cell r="B104" t="str">
            <v>Dụng cụ so màu đất (Munsell)</v>
          </cell>
          <cell r="C104" t="str">
            <v>Quyển</v>
          </cell>
          <cell r="D104">
            <v>1</v>
          </cell>
          <cell r="E104">
            <v>15740741</v>
          </cell>
          <cell r="F104">
            <v>1259259</v>
          </cell>
          <cell r="G104">
            <v>17000000</v>
          </cell>
          <cell r="H104" t="str">
            <v xml:space="preserve">Model: M50215B 
Nhà sản xuất: Pantone </v>
          </cell>
        </row>
        <row r="105">
          <cell r="B105" t="str">
            <v>Ống đựng dung trọng đất</v>
          </cell>
          <cell r="C105" t="str">
            <v>Cái</v>
          </cell>
          <cell r="D105">
            <v>1</v>
          </cell>
          <cell r="E105">
            <v>925926</v>
          </cell>
          <cell r="F105">
            <v>74074</v>
          </cell>
          <cell r="G105">
            <v>1000000</v>
          </cell>
          <cell r="H105" t="str">
            <v>Ống đựng Dung Trọng AMS - Mỹ
Model: 400.80</v>
          </cell>
        </row>
        <row r="106">
          <cell r="B106" t="str">
            <v>Bộ đóng dung trọng đất (thanh và búa đóng)</v>
          </cell>
          <cell r="C106" t="str">
            <v>Bộ</v>
          </cell>
          <cell r="D106">
            <v>1</v>
          </cell>
          <cell r="E106">
            <v>4351852</v>
          </cell>
          <cell r="F106">
            <v>348148</v>
          </cell>
          <cell r="G106">
            <v>4700000</v>
          </cell>
          <cell r="H106" t="str">
            <v>Bộ đóng dung trọng đất (thanh và búa đóng) AMS - Mỹ
Model: 400.80</v>
          </cell>
        </row>
        <row r="107">
          <cell r="B107" t="str">
            <v>Hộp tiêu bản</v>
          </cell>
          <cell r="C107" t="str">
            <v>Cái</v>
          </cell>
          <cell r="D107">
            <v>1</v>
          </cell>
          <cell r="E107">
            <v>27778</v>
          </cell>
          <cell r="F107">
            <v>2222</v>
          </cell>
          <cell r="G107">
            <v>30000</v>
          </cell>
          <cell r="H107" t="str">
            <v>Việt nam</v>
          </cell>
        </row>
        <row r="108">
          <cell r="B108" t="str">
            <v>Thước đo phẫu diện</v>
          </cell>
          <cell r="C108" t="str">
            <v>Cái</v>
          </cell>
          <cell r="D108">
            <v>1</v>
          </cell>
          <cell r="E108">
            <v>25000</v>
          </cell>
          <cell r="F108">
            <v>2000</v>
          </cell>
          <cell r="G108">
            <v>27000</v>
          </cell>
          <cell r="H108" t="str">
            <v>Việt nam</v>
          </cell>
        </row>
        <row r="109">
          <cell r="B109" t="str">
            <v>Phân tích đất</v>
          </cell>
        </row>
        <row r="110">
          <cell r="B110" t="str">
            <v>Cốc nhựa</v>
          </cell>
          <cell r="C110" t="str">
            <v>Cái</v>
          </cell>
          <cell r="D110">
            <v>1</v>
          </cell>
          <cell r="E110">
            <v>53704</v>
          </cell>
          <cell r="F110">
            <v>4296</v>
          </cell>
          <cell r="G110">
            <v>58000</v>
          </cell>
          <cell r="H110" t="str">
            <v>Cốc nhựa PP 500ml Vitalab</v>
          </cell>
        </row>
        <row r="111">
          <cell r="B111" t="str">
            <v>Cốc thủy tinh 1000ml</v>
          </cell>
          <cell r="C111" t="str">
            <v>Cái</v>
          </cell>
          <cell r="D111">
            <v>1</v>
          </cell>
          <cell r="E111">
            <v>64815</v>
          </cell>
          <cell r="F111">
            <v>5185</v>
          </cell>
          <cell r="G111">
            <v>70000</v>
          </cell>
          <cell r="H111" t="str">
            <v>Trung Quốc</v>
          </cell>
        </row>
        <row r="112">
          <cell r="B112" t="str">
            <v>Đũa thủy tinh</v>
          </cell>
          <cell r="C112" t="str">
            <v>Cái</v>
          </cell>
          <cell r="D112">
            <v>1</v>
          </cell>
          <cell r="E112">
            <v>6481</v>
          </cell>
          <cell r="F112">
            <v>519</v>
          </cell>
          <cell r="G112">
            <v>7000</v>
          </cell>
          <cell r="H112" t="str">
            <v>Đũa thủy tinh 7mm x 350mm Genlab - Trung Quốc</v>
          </cell>
        </row>
        <row r="113">
          <cell r="B113" t="str">
            <v>Phễu lọc thủy tinh</v>
          </cell>
          <cell r="C113" t="str">
            <v>Cái</v>
          </cell>
          <cell r="D113">
            <v>1</v>
          </cell>
          <cell r="E113">
            <v>37037</v>
          </cell>
          <cell r="F113">
            <v>2963</v>
          </cell>
          <cell r="G113">
            <v>40000</v>
          </cell>
          <cell r="H113" t="str">
            <v>Phễu thủy tinh 90mm Genlab - Trung Quốc</v>
          </cell>
        </row>
        <row r="114">
          <cell r="B114" t="str">
            <v>Bình thủy tinh 250ml</v>
          </cell>
          <cell r="C114" t="str">
            <v>Cái</v>
          </cell>
          <cell r="D114">
            <v>1</v>
          </cell>
          <cell r="E114">
            <v>46296</v>
          </cell>
          <cell r="F114">
            <v>3704</v>
          </cell>
          <cell r="G114">
            <v>50000</v>
          </cell>
          <cell r="H114" t="str">
            <v>Bình định mức thủy tinh nút nhựa 250 ml Trung Quốc</v>
          </cell>
        </row>
        <row r="115">
          <cell r="B115" t="str">
            <v>Đĩa phơi mẫu</v>
          </cell>
          <cell r="C115" t="str">
            <v>Cái</v>
          </cell>
          <cell r="D115">
            <v>1</v>
          </cell>
          <cell r="E115">
            <v>13889</v>
          </cell>
          <cell r="F115">
            <v>1111</v>
          </cell>
          <cell r="G115">
            <v>15000</v>
          </cell>
          <cell r="H115" t="str">
            <v>Trung Quốc</v>
          </cell>
        </row>
        <row r="116">
          <cell r="B116" t="str">
            <v>Áo blu</v>
          </cell>
          <cell r="C116" t="str">
            <v>Cái</v>
          </cell>
          <cell r="D116">
            <v>1</v>
          </cell>
          <cell r="E116">
            <v>130000</v>
          </cell>
          <cell r="F116">
            <v>12222</v>
          </cell>
          <cell r="G116">
            <v>165000</v>
          </cell>
          <cell r="H116" t="str">
            <v>Vải thô - Việt Nam</v>
          </cell>
        </row>
        <row r="117">
          <cell r="B117" t="str">
            <v>Dép xốp</v>
          </cell>
          <cell r="C117" t="str">
            <v>Đôi</v>
          </cell>
          <cell r="D117">
            <v>1</v>
          </cell>
          <cell r="E117">
            <v>10000</v>
          </cell>
          <cell r="F117">
            <v>3333</v>
          </cell>
          <cell r="G117">
            <v>45000</v>
          </cell>
          <cell r="H117" t="str">
            <v>Nhựa xốp - Việt Nam</v>
          </cell>
        </row>
        <row r="118">
          <cell r="B118" t="str">
            <v>Găng tay</v>
          </cell>
          <cell r="C118" t="str">
            <v>Đôi</v>
          </cell>
          <cell r="D118">
            <v>1</v>
          </cell>
          <cell r="E118">
            <v>6000</v>
          </cell>
          <cell r="F118">
            <v>519</v>
          </cell>
          <cell r="G118">
            <v>7000</v>
          </cell>
          <cell r="H118" t="str">
            <v>Găng tay vải kaki - Việt Nam</v>
          </cell>
        </row>
        <row r="119">
          <cell r="B119" t="str">
            <v>Khẩu trang y tế</v>
          </cell>
          <cell r="C119" t="str">
            <v>Đôi</v>
          </cell>
          <cell r="D119">
            <v>1</v>
          </cell>
          <cell r="E119">
            <v>14815</v>
          </cell>
          <cell r="F119">
            <v>1185</v>
          </cell>
          <cell r="G119">
            <v>16000</v>
          </cell>
          <cell r="H119" t="str">
            <v>Khẩu trang vải - Vinatex - Việt Nam</v>
          </cell>
        </row>
        <row r="120">
          <cell r="B120" t="str">
            <v>Bình thủy tinh 1000ml</v>
          </cell>
          <cell r="C120" t="str">
            <v>Cái</v>
          </cell>
          <cell r="D120">
            <v>1</v>
          </cell>
          <cell r="E120">
            <v>100000</v>
          </cell>
          <cell r="F120">
            <v>8000</v>
          </cell>
          <cell r="G120">
            <v>108000</v>
          </cell>
          <cell r="H120" t="str">
            <v>Bình cầu tròn thủy tinh, cổ không mài 1000 ml - Trung Quốc</v>
          </cell>
        </row>
        <row r="121">
          <cell r="B121" t="str">
            <v>Chai đựng hóa chất</v>
          </cell>
          <cell r="C121" t="str">
            <v>Cái</v>
          </cell>
          <cell r="D121">
            <v>1</v>
          </cell>
          <cell r="E121">
            <v>27778</v>
          </cell>
          <cell r="F121">
            <v>2222</v>
          </cell>
          <cell r="G121">
            <v>30000</v>
          </cell>
          <cell r="H121" t="str">
            <v>Chai thủy tinh nắp vặn 250ml - Trung Quốc</v>
          </cell>
        </row>
        <row r="122">
          <cell r="B122" t="str">
            <v>Micropipet 10ml</v>
          </cell>
          <cell r="C122" t="str">
            <v>Cái</v>
          </cell>
          <cell r="D122">
            <v>1</v>
          </cell>
          <cell r="E122">
            <v>1296296</v>
          </cell>
          <cell r="F122">
            <v>103704</v>
          </cell>
          <cell r="G122">
            <v>1400000</v>
          </cell>
          <cell r="H122" t="str">
            <v>MICROPIPET - PIPET TỰ ĐỘNG 1 KÊNH ISOLAB – ĐỨC</v>
          </cell>
        </row>
        <row r="123">
          <cell r="B123" t="str">
            <v>Pipet 5ml</v>
          </cell>
          <cell r="C123" t="str">
            <v>Cái</v>
          </cell>
          <cell r="D123">
            <v>1</v>
          </cell>
          <cell r="E123">
            <v>29630</v>
          </cell>
          <cell r="F123">
            <v>2370</v>
          </cell>
          <cell r="G123">
            <v>32000</v>
          </cell>
          <cell r="H123" t="str">
            <v>Pipet thủy tinh 5ml Eulab</v>
          </cell>
        </row>
        <row r="124">
          <cell r="B124" t="str">
            <v>Bình định mức 50ml</v>
          </cell>
          <cell r="C124" t="str">
            <v>Cái</v>
          </cell>
          <cell r="D124">
            <v>1</v>
          </cell>
          <cell r="E124">
            <v>33333</v>
          </cell>
          <cell r="F124">
            <v>2667</v>
          </cell>
          <cell r="G124">
            <v>36000</v>
          </cell>
          <cell r="H124" t="str">
            <v>Bình định mức thủy tinh 50 ml (Nâu) - Trung Quốc</v>
          </cell>
        </row>
        <row r="125">
          <cell r="B125" t="str">
            <v>Bình định mức 100ml</v>
          </cell>
          <cell r="C125" t="str">
            <v>Cái</v>
          </cell>
          <cell r="D125">
            <v>1</v>
          </cell>
          <cell r="E125">
            <v>33333</v>
          </cell>
          <cell r="F125">
            <v>2667</v>
          </cell>
          <cell r="G125">
            <v>36000</v>
          </cell>
          <cell r="H125" t="str">
            <v>Bình định mức thủy tinh 100ml Trung Quốc</v>
          </cell>
        </row>
        <row r="126">
          <cell r="B126" t="str">
            <v>Bình định mức 25ml</v>
          </cell>
          <cell r="C126" t="str">
            <v>Cái</v>
          </cell>
          <cell r="D126">
            <v>1</v>
          </cell>
          <cell r="E126">
            <v>26852</v>
          </cell>
          <cell r="F126">
            <v>2148</v>
          </cell>
          <cell r="G126">
            <v>29000</v>
          </cell>
          <cell r="H126" t="str">
            <v>Bình định mức thủy tinh 25 ml (Nâu) Trung Quốc</v>
          </cell>
        </row>
        <row r="127">
          <cell r="B127" t="str">
            <v>Bình định mức 250ml</v>
          </cell>
          <cell r="C127" t="str">
            <v>Cái</v>
          </cell>
          <cell r="D127">
            <v>1</v>
          </cell>
          <cell r="E127">
            <v>46296</v>
          </cell>
          <cell r="F127">
            <v>3704</v>
          </cell>
          <cell r="G127">
            <v>50000</v>
          </cell>
          <cell r="H127" t="str">
            <v>Bình định mức thủy tinh nút nhựa 250 ml Trung Quốc</v>
          </cell>
        </row>
        <row r="128">
          <cell r="B128" t="str">
            <v>Bình định mức 500ml</v>
          </cell>
          <cell r="E128">
            <v>92593</v>
          </cell>
          <cell r="F128">
            <v>7407</v>
          </cell>
          <cell r="G128">
            <v>100000</v>
          </cell>
          <cell r="H128" t="str">
            <v>Bình định mức thủy tinh 500ml Trung Quốc</v>
          </cell>
        </row>
        <row r="129">
          <cell r="B129" t="str">
            <v>Đầu cone 5ml</v>
          </cell>
          <cell r="C129" t="str">
            <v>Cái</v>
          </cell>
          <cell r="D129">
            <v>1</v>
          </cell>
          <cell r="E129">
            <v>926</v>
          </cell>
          <cell r="F129">
            <v>74</v>
          </cell>
          <cell r="G129">
            <v>1000</v>
          </cell>
          <cell r="H129" t="str">
            <v>Nhựa PP trong suốt - Việt Nam</v>
          </cell>
        </row>
        <row r="130">
          <cell r="B130" t="str">
            <v>Đèn Wimax = 200h</v>
          </cell>
          <cell r="C130" t="str">
            <v>Cái</v>
          </cell>
          <cell r="D130">
            <v>1</v>
          </cell>
          <cell r="E130">
            <v>3888889</v>
          </cell>
          <cell r="F130">
            <v>311111</v>
          </cell>
          <cell r="G130">
            <v>4200000</v>
          </cell>
          <cell r="H130" t="str">
            <v>Trung Quốc</v>
          </cell>
        </row>
        <row r="131">
          <cell r="B131" t="str">
            <v>Đèn DI max = 500h</v>
          </cell>
          <cell r="C131" t="str">
            <v>Cái</v>
          </cell>
          <cell r="D131">
            <v>1</v>
          </cell>
          <cell r="E131">
            <v>2777778</v>
          </cell>
          <cell r="F131">
            <v>222222</v>
          </cell>
          <cell r="G131">
            <v>3000000</v>
          </cell>
          <cell r="H131" t="str">
            <v>Trung Quốc</v>
          </cell>
        </row>
        <row r="132">
          <cell r="B132" t="str">
            <v>Cuvet 1cm</v>
          </cell>
          <cell r="C132" t="str">
            <v>Cái</v>
          </cell>
          <cell r="D132">
            <v>1</v>
          </cell>
          <cell r="E132">
            <v>212963</v>
          </cell>
          <cell r="F132">
            <v>17037</v>
          </cell>
          <cell r="G132">
            <v>230000</v>
          </cell>
          <cell r="H132" t="str">
            <v>Cuvet thủy tinh 10mm Genlab - Trung Quốc</v>
          </cell>
        </row>
        <row r="133">
          <cell r="B133" t="str">
            <v>Bình nhựa 2 lít</v>
          </cell>
          <cell r="C133" t="str">
            <v>Cái</v>
          </cell>
          <cell r="D133">
            <v>1</v>
          </cell>
          <cell r="E133">
            <v>4630</v>
          </cell>
          <cell r="F133">
            <v>370</v>
          </cell>
          <cell r="G133">
            <v>5000</v>
          </cell>
          <cell r="H133" t="str">
            <v>Việt Nam</v>
          </cell>
        </row>
        <row r="134">
          <cell r="B134" t="str">
            <v>Bình nhựa 5 lít</v>
          </cell>
          <cell r="C134" t="str">
            <v>Cái</v>
          </cell>
          <cell r="D134">
            <v>1</v>
          </cell>
          <cell r="E134">
            <v>11111</v>
          </cell>
          <cell r="F134">
            <v>889</v>
          </cell>
          <cell r="G134">
            <v>12000</v>
          </cell>
          <cell r="H134" t="str">
            <v>Việt Nam</v>
          </cell>
        </row>
        <row r="135">
          <cell r="B135" t="str">
            <v>Chai nhựa 0,5 lít</v>
          </cell>
          <cell r="C135" t="str">
            <v>Cái</v>
          </cell>
          <cell r="D135">
            <v>1</v>
          </cell>
          <cell r="E135">
            <v>1852</v>
          </cell>
          <cell r="F135">
            <v>148</v>
          </cell>
          <cell r="G135">
            <v>2000</v>
          </cell>
          <cell r="H135" t="str">
            <v>Việt Nam</v>
          </cell>
        </row>
        <row r="136">
          <cell r="B136" t="str">
            <v>Ống trụ 1000ml</v>
          </cell>
          <cell r="C136" t="str">
            <v>Cái</v>
          </cell>
          <cell r="D136">
            <v>1</v>
          </cell>
          <cell r="E136">
            <v>138889</v>
          </cell>
          <cell r="F136">
            <v>11111</v>
          </cell>
          <cell r="G136">
            <v>150000</v>
          </cell>
          <cell r="H136" t="str">
            <v>Trung Quốc</v>
          </cell>
        </row>
        <row r="137">
          <cell r="B137" t="str">
            <v>Ống hút Robinson</v>
          </cell>
          <cell r="C137" t="str">
            <v>Cái</v>
          </cell>
          <cell r="D137">
            <v>1</v>
          </cell>
          <cell r="E137">
            <v>64815</v>
          </cell>
          <cell r="F137">
            <v>5185</v>
          </cell>
          <cell r="G137">
            <v>70000</v>
          </cell>
        </row>
        <row r="138">
          <cell r="B138" t="str">
            <v>Khay đựng mẫu sàng rây</v>
          </cell>
          <cell r="C138" t="str">
            <v>Cái</v>
          </cell>
          <cell r="D138">
            <v>1</v>
          </cell>
          <cell r="E138">
            <v>241667</v>
          </cell>
          <cell r="F138">
            <v>19333</v>
          </cell>
          <cell r="G138">
            <v>261000</v>
          </cell>
          <cell r="H138" t="str">
            <v>Sàng rây phi 200mm Trung Quốc</v>
          </cell>
        </row>
        <row r="139">
          <cell r="B139" t="str">
            <v>Ống nghiệm 25*150</v>
          </cell>
          <cell r="C139" t="str">
            <v>Ống</v>
          </cell>
          <cell r="D139">
            <v>1</v>
          </cell>
          <cell r="E139">
            <v>6944</v>
          </cell>
          <cell r="F139">
            <v>556</v>
          </cell>
          <cell r="G139">
            <v>7500</v>
          </cell>
          <cell r="H139" t="str">
            <v>Genlab - Trung Quốc</v>
          </cell>
        </row>
        <row r="140">
          <cell r="B140" t="str">
            <v>Ống nghiệm không nắp</v>
          </cell>
          <cell r="C140" t="str">
            <v>Ống</v>
          </cell>
          <cell r="D140">
            <v>1</v>
          </cell>
          <cell r="E140">
            <v>6944</v>
          </cell>
          <cell r="F140">
            <v>556</v>
          </cell>
          <cell r="G140">
            <v>7500</v>
          </cell>
          <cell r="H140" t="str">
            <v>Genlab - Trung Quốc</v>
          </cell>
        </row>
        <row r="141">
          <cell r="B141" t="str">
            <v>Ống nghiệm có nắp</v>
          </cell>
          <cell r="C141" t="str">
            <v>Ống</v>
          </cell>
          <cell r="D141">
            <v>1</v>
          </cell>
          <cell r="E141">
            <v>8333</v>
          </cell>
          <cell r="F141">
            <v>667</v>
          </cell>
          <cell r="G141">
            <v>9000</v>
          </cell>
          <cell r="H141" t="str">
            <v>16x160mm Genlab - Trung Quốc</v>
          </cell>
        </row>
        <row r="142">
          <cell r="B142" t="str">
            <v>Đầu cone 1ml</v>
          </cell>
          <cell r="C142" t="str">
            <v>Cái</v>
          </cell>
          <cell r="D142">
            <v>1</v>
          </cell>
          <cell r="E142">
            <v>185</v>
          </cell>
          <cell r="F142">
            <v>15</v>
          </cell>
          <cell r="G142">
            <v>200</v>
          </cell>
          <cell r="H142" t="str">
            <v>Nhựa PP - Việt Nam</v>
          </cell>
        </row>
        <row r="143">
          <cell r="B143" t="str">
            <v>Bình tam giác 250ml</v>
          </cell>
          <cell r="C143" t="str">
            <v>Cái</v>
          </cell>
          <cell r="D143">
            <v>1</v>
          </cell>
          <cell r="E143">
            <v>45370</v>
          </cell>
          <cell r="F143">
            <v>3630</v>
          </cell>
          <cell r="G143">
            <v>49000</v>
          </cell>
          <cell r="H143" t="str">
            <v>Bình tam giác MH 250ml Genlab - Trung Quốc</v>
          </cell>
        </row>
        <row r="144">
          <cell r="B144" t="str">
            <v>Micropipet 1ml</v>
          </cell>
          <cell r="C144" t="str">
            <v>Cái</v>
          </cell>
          <cell r="D144">
            <v>1</v>
          </cell>
          <cell r="E144">
            <v>900000</v>
          </cell>
          <cell r="F144">
            <v>72000</v>
          </cell>
          <cell r="G144">
            <v>972000</v>
          </cell>
          <cell r="H144" t="str">
            <v>Scilogex - Trung Quốc</v>
          </cell>
        </row>
        <row r="145">
          <cell r="B145" t="str">
            <v>Pipet 10ml</v>
          </cell>
          <cell r="C145" t="str">
            <v>Cái</v>
          </cell>
          <cell r="D145">
            <v>1</v>
          </cell>
          <cell r="E145">
            <v>33333</v>
          </cell>
          <cell r="F145">
            <v>2667</v>
          </cell>
          <cell r="G145">
            <v>36000</v>
          </cell>
          <cell r="H145" t="str">
            <v>Eulab</v>
          </cell>
        </row>
        <row r="146">
          <cell r="B146" t="str">
            <v>Cốc thủy tinh</v>
          </cell>
          <cell r="C146" t="str">
            <v>Cái</v>
          </cell>
          <cell r="D146">
            <v>1</v>
          </cell>
          <cell r="E146">
            <v>14815</v>
          </cell>
          <cell r="F146">
            <v>1185</v>
          </cell>
          <cell r="G146">
            <v>16000</v>
          </cell>
          <cell r="H146" t="str">
            <v>Genlab - Trung Quốc</v>
          </cell>
        </row>
        <row r="147">
          <cell r="B147" t="str">
            <v>Cuvet Graphit</v>
          </cell>
          <cell r="C147" t="str">
            <v>Cái</v>
          </cell>
          <cell r="D147">
            <v>1</v>
          </cell>
          <cell r="E147">
            <v>1203704</v>
          </cell>
          <cell r="F147">
            <v>96296</v>
          </cell>
          <cell r="G147">
            <v>1300000</v>
          </cell>
          <cell r="H147" t="str">
            <v>Trung Quốc</v>
          </cell>
        </row>
        <row r="148">
          <cell r="B148" t="str">
            <v>Đèn D2</v>
          </cell>
          <cell r="C148" t="str">
            <v>Cái</v>
          </cell>
          <cell r="D148">
            <v>1</v>
          </cell>
          <cell r="E148">
            <v>3240741</v>
          </cell>
          <cell r="F148">
            <v>259259</v>
          </cell>
          <cell r="G148">
            <v>3500000</v>
          </cell>
          <cell r="H148" t="str">
            <v>Hitachi Deuterium Lamp for LC - 885-3570</v>
          </cell>
        </row>
        <row r="149">
          <cell r="B149" t="str">
            <v>Đèn Tungsten</v>
          </cell>
          <cell r="C149" t="str">
            <v>Cái</v>
          </cell>
          <cell r="D149">
            <v>1</v>
          </cell>
          <cell r="E149">
            <v>4166667</v>
          </cell>
          <cell r="F149">
            <v>333333</v>
          </cell>
          <cell r="G149">
            <v>4500000</v>
          </cell>
          <cell r="H149" t="str">
            <v>Đèn Tungsten Halogen cho máy quang phổ UVD-3000 and UVD-3200 Labomed W3200</v>
          </cell>
        </row>
        <row r="150">
          <cell r="B150" t="str">
            <v>Đèn HCL</v>
          </cell>
          <cell r="C150" t="str">
            <v>Cái</v>
          </cell>
          <cell r="D150">
            <v>1</v>
          </cell>
          <cell r="E150">
            <v>3240741</v>
          </cell>
          <cell r="F150">
            <v>259259</v>
          </cell>
          <cell r="G150">
            <v>3500000</v>
          </cell>
          <cell r="H150" t="str">
            <v>Đèn catot rỗng Sodium Cathode lamp (37mm hoặc 1.5”) Hollow
Model: P851 (Na)</v>
          </cell>
        </row>
        <row r="151">
          <cell r="B151" t="str">
            <v>Bình định mức 1000ml</v>
          </cell>
          <cell r="C151" t="str">
            <v>Cái</v>
          </cell>
          <cell r="D151">
            <v>1</v>
          </cell>
          <cell r="E151">
            <v>64815</v>
          </cell>
          <cell r="F151">
            <v>5185</v>
          </cell>
          <cell r="G151">
            <v>70000</v>
          </cell>
          <cell r="H151" t="str">
            <v>Bình định mức 1000 ml (Nâu) Trung Quốc</v>
          </cell>
        </row>
        <row r="152">
          <cell r="B152" t="str">
            <v>Cuvet thạch anh cho FIAS</v>
          </cell>
          <cell r="C152" t="str">
            <v>Cái</v>
          </cell>
          <cell r="D152">
            <v>1</v>
          </cell>
          <cell r="E152">
            <v>1851852</v>
          </cell>
          <cell r="F152">
            <v>148148</v>
          </cell>
          <cell r="G152">
            <v>2000000</v>
          </cell>
          <cell r="H152" t="str">
            <v>HELLMA - Đức</v>
          </cell>
        </row>
        <row r="153">
          <cell r="B153" t="str">
            <v>Màng lọc cho FIAS</v>
          </cell>
          <cell r="C153" t="str">
            <v>Cái</v>
          </cell>
          <cell r="D153">
            <v>1</v>
          </cell>
          <cell r="E153">
            <v>185185</v>
          </cell>
          <cell r="F153">
            <v>14815</v>
          </cell>
          <cell r="G153">
            <v>200000</v>
          </cell>
          <cell r="H153" t="str">
            <v>Trung Quốc</v>
          </cell>
        </row>
        <row r="154">
          <cell r="B154" t="str">
            <v>Đèn EDL</v>
          </cell>
          <cell r="C154" t="str">
            <v>Cái</v>
          </cell>
          <cell r="D154">
            <v>1</v>
          </cell>
          <cell r="E154">
            <v>3240741</v>
          </cell>
          <cell r="F154">
            <v>259259</v>
          </cell>
          <cell r="G154">
            <v>3500000</v>
          </cell>
          <cell r="H154" t="str">
            <v>Nhật Bản</v>
          </cell>
        </row>
        <row r="155">
          <cell r="B155" t="str">
            <v>Bình nhựa 0,5 lít</v>
          </cell>
          <cell r="C155" t="str">
            <v>Cái</v>
          </cell>
          <cell r="D155">
            <v>1</v>
          </cell>
          <cell r="E155">
            <v>1852</v>
          </cell>
          <cell r="F155">
            <v>148</v>
          </cell>
          <cell r="G155">
            <v>2000</v>
          </cell>
          <cell r="H155" t="str">
            <v>Việt Nam</v>
          </cell>
        </row>
        <row r="156">
          <cell r="B156" t="str">
            <v>Cột sắc ký thủy tinh</v>
          </cell>
          <cell r="C156" t="str">
            <v>Cái</v>
          </cell>
          <cell r="D156">
            <v>1</v>
          </cell>
          <cell r="E156">
            <v>1574074</v>
          </cell>
          <cell r="F156">
            <v>125926</v>
          </cell>
          <cell r="G156">
            <v>1700000</v>
          </cell>
          <cell r="H156" t="str">
            <v>Cột sắc ký thủy tinh đường kính 15 mm Isolab- Đức</v>
          </cell>
        </row>
        <row r="157">
          <cell r="B157" t="str">
            <v>Cột tách mao quản</v>
          </cell>
          <cell r="C157" t="str">
            <v>Cái</v>
          </cell>
          <cell r="D157">
            <v>1</v>
          </cell>
          <cell r="E157">
            <v>92593</v>
          </cell>
          <cell r="F157">
            <v>7407</v>
          </cell>
          <cell r="G157">
            <v>100000</v>
          </cell>
          <cell r="H157" t="str">
            <v>Trung Quốc</v>
          </cell>
        </row>
        <row r="158">
          <cell r="B158" t="str">
            <v>Phễu chiết 500ml</v>
          </cell>
          <cell r="C158" t="str">
            <v>Cái</v>
          </cell>
          <cell r="D158">
            <v>1</v>
          </cell>
          <cell r="E158">
            <v>138889</v>
          </cell>
          <cell r="F158">
            <v>11111</v>
          </cell>
          <cell r="G158">
            <v>150000</v>
          </cell>
          <cell r="H158" t="str">
            <v>Trung Quốc</v>
          </cell>
        </row>
        <row r="159">
          <cell r="B159" t="str">
            <v>Phễu chiết 1000ml</v>
          </cell>
          <cell r="C159" t="str">
            <v>Cái</v>
          </cell>
          <cell r="D159">
            <v>1</v>
          </cell>
          <cell r="E159">
            <v>231481</v>
          </cell>
          <cell r="F159">
            <v>18519</v>
          </cell>
          <cell r="G159">
            <v>250000</v>
          </cell>
          <cell r="H159" t="str">
            <v>Trung Quốc</v>
          </cell>
        </row>
        <row r="160">
          <cell r="B160" t="str">
            <v>Micropipet 5ml</v>
          </cell>
          <cell r="C160" t="str">
            <v>Cái</v>
          </cell>
          <cell r="D160">
            <v>1</v>
          </cell>
          <cell r="E160">
            <v>1805556</v>
          </cell>
          <cell r="F160">
            <v>144444</v>
          </cell>
          <cell r="G160">
            <v>1950000</v>
          </cell>
          <cell r="H160" t="str">
            <v>MICROPIPET - PIPET TỰ ĐỘNG 1 KÊNH ISOLAB – ĐỨC</v>
          </cell>
        </row>
        <row r="161">
          <cell r="B161" t="str">
            <v>Kim tiêm mẫu (syringe 10uL)</v>
          </cell>
          <cell r="C161" t="str">
            <v>Cái</v>
          </cell>
          <cell r="D161">
            <v>1</v>
          </cell>
          <cell r="E161">
            <v>138889</v>
          </cell>
          <cell r="F161">
            <v>11111</v>
          </cell>
          <cell r="G161">
            <v>150000</v>
          </cell>
          <cell r="H161" t="str">
            <v>Trung Quốc</v>
          </cell>
        </row>
        <row r="162">
          <cell r="B162" t="str">
            <v>Chai BOD</v>
          </cell>
          <cell r="C162" t="str">
            <v>Cái</v>
          </cell>
          <cell r="D162">
            <v>1</v>
          </cell>
          <cell r="E162">
            <v>262037</v>
          </cell>
          <cell r="F162">
            <v>20963</v>
          </cell>
          <cell r="G162">
            <v>283000</v>
          </cell>
          <cell r="H162" t="str">
            <v>Chai BOD nắp nhựa 300ml Borosil - Ấn Độ</v>
          </cell>
        </row>
        <row r="163">
          <cell r="B163" t="str">
            <v>Bộ sục khí</v>
          </cell>
          <cell r="C163" t="str">
            <v>Bộ</v>
          </cell>
          <cell r="D163">
            <v>1</v>
          </cell>
          <cell r="E163">
            <v>821296</v>
          </cell>
          <cell r="F163">
            <v>65704</v>
          </cell>
          <cell r="G163">
            <v>887000</v>
          </cell>
          <cell r="H163" t="str">
            <v>Bình rửa khí 500ml Simax - Séc</v>
          </cell>
        </row>
        <row r="164">
          <cell r="B164" t="str">
            <v>Chai bảo quản dung dịch</v>
          </cell>
          <cell r="C164" t="str">
            <v>Cái</v>
          </cell>
          <cell r="D164">
            <v>1</v>
          </cell>
          <cell r="E164">
            <v>27778</v>
          </cell>
          <cell r="F164">
            <v>2222</v>
          </cell>
          <cell r="G164">
            <v>30000</v>
          </cell>
          <cell r="H164" t="str">
            <v>Chai thủy tinh nắp vặn 250ml - Trung Quốc</v>
          </cell>
        </row>
        <row r="165">
          <cell r="B165" t="str">
            <v>Xô chứa dung dịch sục khí</v>
          </cell>
          <cell r="C165" t="str">
            <v>Cái</v>
          </cell>
          <cell r="D165">
            <v>1</v>
          </cell>
          <cell r="E165">
            <v>18519</v>
          </cell>
          <cell r="F165">
            <v>1481</v>
          </cell>
          <cell r="G165">
            <v>20000</v>
          </cell>
          <cell r="H165" t="str">
            <v>Việt Nam</v>
          </cell>
        </row>
        <row r="166">
          <cell r="B166" t="str">
            <v>Đầu điện cực</v>
          </cell>
          <cell r="C166" t="str">
            <v>Cái</v>
          </cell>
          <cell r="D166">
            <v>1</v>
          </cell>
          <cell r="E166">
            <v>1322222</v>
          </cell>
          <cell r="F166">
            <v>105778</v>
          </cell>
          <cell r="G166">
            <v>1428000</v>
          </cell>
          <cell r="H166" t="str">
            <v>Điện cực pH PE03 (PP5003) Trans Instruments - Singapore</v>
          </cell>
        </row>
        <row r="167">
          <cell r="B167" t="str">
            <v>Ống phá mẫu có nắp kín</v>
          </cell>
          <cell r="C167" t="str">
            <v>Cái</v>
          </cell>
          <cell r="D167">
            <v>1</v>
          </cell>
          <cell r="E167">
            <v>8333</v>
          </cell>
          <cell r="F167">
            <v>667</v>
          </cell>
          <cell r="G167">
            <v>9000</v>
          </cell>
          <cell r="H167" t="str">
            <v>Trung Quốc</v>
          </cell>
        </row>
        <row r="168">
          <cell r="B168" t="str">
            <v>Burret chuẩn độ tự động</v>
          </cell>
          <cell r="C168" t="str">
            <v>Cái</v>
          </cell>
          <cell r="D168">
            <v>1</v>
          </cell>
          <cell r="E168">
            <v>106481</v>
          </cell>
          <cell r="F168">
            <v>8519</v>
          </cell>
          <cell r="G168">
            <v>115000</v>
          </cell>
          <cell r="H168" t="str">
            <v>Burette trắng khóa thủy tinh 25ml Genlab - Trung Quốc</v>
          </cell>
        </row>
        <row r="169">
          <cell r="B169" t="str">
            <v>Bình nhỏ giọt</v>
          </cell>
          <cell r="C169" t="str">
            <v>Cái</v>
          </cell>
          <cell r="D169">
            <v>1</v>
          </cell>
          <cell r="E169">
            <v>23148</v>
          </cell>
          <cell r="F169">
            <v>1852</v>
          </cell>
          <cell r="G169">
            <v>25000</v>
          </cell>
          <cell r="H169" t="str">
            <v>Chai nhỏ giọt trắng 60ml Genlab - Trung Quốc</v>
          </cell>
        </row>
        <row r="170">
          <cell r="B170" t="str">
            <v>Bình chưng cất</v>
          </cell>
          <cell r="C170" t="str">
            <v>Cái</v>
          </cell>
          <cell r="D170">
            <v>1</v>
          </cell>
          <cell r="E170">
            <v>231481</v>
          </cell>
          <cell r="F170">
            <v>18519</v>
          </cell>
          <cell r="G170">
            <v>250000</v>
          </cell>
          <cell r="H170" t="str">
            <v>Pyrex-USA</v>
          </cell>
        </row>
        <row r="171">
          <cell r="B171" t="str">
            <v>Ống chứa mẫu 15ml (có nắp)</v>
          </cell>
          <cell r="C171" t="str">
            <v>Cái</v>
          </cell>
          <cell r="D171">
            <v>1</v>
          </cell>
          <cell r="E171">
            <v>3241</v>
          </cell>
          <cell r="F171">
            <v>259</v>
          </cell>
          <cell r="G171">
            <v>3500</v>
          </cell>
          <cell r="H171" t="str">
            <v>Ống ly tâm nắp vặn 15ml Mida - Việt Nam</v>
          </cell>
        </row>
        <row r="172">
          <cell r="B172" t="str">
            <v>Cái lọc</v>
          </cell>
          <cell r="C172" t="str">
            <v>Cái</v>
          </cell>
          <cell r="D172">
            <v>1</v>
          </cell>
          <cell r="E172">
            <v>46296</v>
          </cell>
          <cell r="F172">
            <v>3704</v>
          </cell>
          <cell r="G172">
            <v>50000</v>
          </cell>
          <cell r="H172" t="str">
            <v>Việt Nam</v>
          </cell>
        </row>
        <row r="173">
          <cell r="B173" t="str">
            <v>Ống hút</v>
          </cell>
          <cell r="C173" t="str">
            <v>Cái</v>
          </cell>
          <cell r="D173">
            <v>1</v>
          </cell>
          <cell r="E173">
            <v>11111</v>
          </cell>
          <cell r="F173">
            <v>889</v>
          </cell>
          <cell r="G173">
            <v>12000</v>
          </cell>
          <cell r="H173" t="str">
            <v>Việt Nam</v>
          </cell>
        </row>
        <row r="174">
          <cell r="B174" t="str">
            <v>Ống đong 250ml</v>
          </cell>
          <cell r="C174" t="str">
            <v>Cái</v>
          </cell>
          <cell r="D174">
            <v>1</v>
          </cell>
          <cell r="E174">
            <v>76852</v>
          </cell>
          <cell r="F174">
            <v>6148</v>
          </cell>
          <cell r="G174">
            <v>83000</v>
          </cell>
          <cell r="H174" t="str">
            <v>Ống đong thủy tinh 250ml Genlab - Trung Quốc</v>
          </cell>
        </row>
        <row r="175">
          <cell r="B175" t="str">
            <v>Bình tia</v>
          </cell>
          <cell r="C175" t="str">
            <v>Cái</v>
          </cell>
          <cell r="D175">
            <v>1</v>
          </cell>
          <cell r="E175">
            <v>11111</v>
          </cell>
          <cell r="F175">
            <v>889</v>
          </cell>
          <cell r="G175">
            <v>12000</v>
          </cell>
          <cell r="H175" t="str">
            <v>Bình tia nhựa 250ml Genlab - Trung Quốc</v>
          </cell>
        </row>
        <row r="176">
          <cell r="B176" t="str">
            <v>Bình tam giác 500ml</v>
          </cell>
          <cell r="C176" t="str">
            <v>Cái</v>
          </cell>
          <cell r="D176">
            <v>1</v>
          </cell>
          <cell r="E176">
            <v>40278</v>
          </cell>
          <cell r="F176">
            <v>3222</v>
          </cell>
          <cell r="G176">
            <v>43500</v>
          </cell>
          <cell r="H176" t="str">
            <v>Bình tam giác MH 500ml Genlab - Trung Quốc</v>
          </cell>
        </row>
        <row r="177">
          <cell r="B177" t="str">
            <v>Thiết bị</v>
          </cell>
          <cell r="E177">
            <v>0</v>
          </cell>
          <cell r="F177">
            <v>0</v>
          </cell>
          <cell r="G177">
            <v>0</v>
          </cell>
        </row>
        <row r="178">
          <cell r="B178" t="str">
            <v>Tủ sấy</v>
          </cell>
          <cell r="C178" t="str">
            <v>Cái</v>
          </cell>
          <cell r="D178">
            <v>1</v>
          </cell>
          <cell r="E178">
            <v>6759259</v>
          </cell>
          <cell r="F178">
            <v>540741</v>
          </cell>
          <cell r="G178">
            <v>7300000</v>
          </cell>
          <cell r="H178" t="str">
            <v>Tủ sấy China 101-1A (70 lít ) - Trung Quốc</v>
          </cell>
        </row>
        <row r="179">
          <cell r="B179" t="str">
            <v>Bình hút ẩm</v>
          </cell>
          <cell r="C179" t="str">
            <v>Cái</v>
          </cell>
          <cell r="D179">
            <v>1</v>
          </cell>
          <cell r="E179">
            <v>1231482</v>
          </cell>
          <cell r="F179">
            <v>98518</v>
          </cell>
          <cell r="G179">
            <v>1330000</v>
          </cell>
          <cell r="H179" t="str">
            <v>Bình hút ẩm có vòi phi 240mm Genlab - Trung Quốc</v>
          </cell>
        </row>
        <row r="180">
          <cell r="B180" t="str">
            <v>Cân phân tích</v>
          </cell>
          <cell r="C180" t="str">
            <v>Cái</v>
          </cell>
          <cell r="D180">
            <v>1</v>
          </cell>
          <cell r="E180">
            <v>20000000</v>
          </cell>
          <cell r="F180">
            <v>1600000</v>
          </cell>
          <cell r="G180">
            <v>21600000</v>
          </cell>
          <cell r="H180" t="str">
            <v>Cân phân tích (110g - 0,001g) LSAB-A10 Labtron</v>
          </cell>
        </row>
        <row r="181">
          <cell r="B181" t="str">
            <v>Thiết bị phá mẫu</v>
          </cell>
          <cell r="C181" t="str">
            <v>Bộ</v>
          </cell>
          <cell r="D181">
            <v>1</v>
          </cell>
          <cell r="E181">
            <v>31481482</v>
          </cell>
          <cell r="F181">
            <v>2518518</v>
          </cell>
          <cell r="G181">
            <v>34000000</v>
          </cell>
          <cell r="H181" t="str">
            <v>Máy phá mẫu COD HI839800 Hanna - Ý</v>
          </cell>
        </row>
        <row r="182">
          <cell r="B182" t="str">
            <v>Thiết bị lọc nước siêu sạch</v>
          </cell>
          <cell r="C182" t="str">
            <v>Bộ</v>
          </cell>
          <cell r="D182">
            <v>1</v>
          </cell>
          <cell r="E182">
            <v>99537039</v>
          </cell>
          <cell r="F182">
            <v>7962961</v>
          </cell>
          <cell r="G182">
            <v>107500000</v>
          </cell>
          <cell r="H182" t="str">
            <v>Máy lọc nước siêu tinh khiết Elix® Essential 3 Merck - Đức</v>
          </cell>
        </row>
        <row r="183">
          <cell r="B183" t="str">
            <v>Máy khuấy từ</v>
          </cell>
          <cell r="C183" t="str">
            <v>Cái</v>
          </cell>
          <cell r="D183">
            <v>1</v>
          </cell>
          <cell r="E183">
            <v>2870370</v>
          </cell>
          <cell r="F183">
            <v>229630</v>
          </cell>
          <cell r="G183">
            <v>3100000</v>
          </cell>
          <cell r="H183" t="str">
            <v>Máy khuấy từ gia nhiệt China 85-2, 300W (2400 vòng/phút) - Trung Quốc</v>
          </cell>
        </row>
        <row r="184">
          <cell r="B184" t="str">
            <v>pH mette (thiết bị đo pH)</v>
          </cell>
          <cell r="C184" t="str">
            <v>Bộ</v>
          </cell>
          <cell r="D184">
            <v>1</v>
          </cell>
          <cell r="E184">
            <v>3009259</v>
          </cell>
          <cell r="F184">
            <v>240741</v>
          </cell>
          <cell r="G184">
            <v>3250000</v>
          </cell>
          <cell r="H184" t="str">
            <v>Máy đo độ pH cho đất PCE -PH20S - Đài Loan</v>
          </cell>
        </row>
        <row r="185">
          <cell r="B185" t="str">
            <v>Máy quang phổ UV-VIS</v>
          </cell>
          <cell r="C185" t="str">
            <v>Bộ</v>
          </cell>
          <cell r="D185">
            <v>1</v>
          </cell>
          <cell r="E185">
            <v>185185189</v>
          </cell>
          <cell r="F185">
            <v>14814811</v>
          </cell>
          <cell r="G185">
            <v>200000000</v>
          </cell>
          <cell r="H185" t="str">
            <v>CE 4002 Cecil - Anh</v>
          </cell>
        </row>
        <row r="186">
          <cell r="B186" t="str">
            <v>Bộ rây mẫu tiêu chuẩn</v>
          </cell>
          <cell r="C186" t="str">
            <v>Bộ</v>
          </cell>
          <cell r="D186">
            <v>1</v>
          </cell>
          <cell r="E186">
            <v>185185</v>
          </cell>
          <cell r="F186">
            <v>14815</v>
          </cell>
          <cell r="G186">
            <v>200000</v>
          </cell>
          <cell r="H186" t="str">
            <v>Natraco - Trung Quốc</v>
          </cell>
        </row>
        <row r="187">
          <cell r="B187" t="str">
            <v>Thiết bị chưng cất</v>
          </cell>
          <cell r="C187" t="str">
            <v>Bộ</v>
          </cell>
          <cell r="D187">
            <v>1</v>
          </cell>
          <cell r="E187">
            <v>45000001</v>
          </cell>
          <cell r="F187">
            <v>3599999</v>
          </cell>
          <cell r="G187">
            <v>48600000</v>
          </cell>
          <cell r="H187" t="str">
            <v>Máy cô quay chân không RE100-Pro Scilogex - Mỹ</v>
          </cell>
        </row>
        <row r="188">
          <cell r="B188" t="str">
            <v>Tủ lạnh lưu chất chuẩn</v>
          </cell>
          <cell r="C188" t="str">
            <v>Cái</v>
          </cell>
          <cell r="D188">
            <v>1</v>
          </cell>
          <cell r="E188">
            <v>17592593</v>
          </cell>
          <cell r="F188">
            <v>1407407</v>
          </cell>
          <cell r="G188">
            <v>19000000</v>
          </cell>
          <cell r="H188" t="str">
            <v>Tủ lạnh HYC-48 MRC</v>
          </cell>
        </row>
        <row r="189">
          <cell r="B189" t="str">
            <v>Máy cất Nitơ</v>
          </cell>
          <cell r="C189" t="str">
            <v>Cái</v>
          </cell>
          <cell r="D189">
            <v>1</v>
          </cell>
          <cell r="E189">
            <v>36111112</v>
          </cell>
          <cell r="F189">
            <v>2888888</v>
          </cell>
          <cell r="G189">
            <v>39000000</v>
          </cell>
          <cell r="H189" t="str">
            <v>Trung Quốc</v>
          </cell>
        </row>
        <row r="190">
          <cell r="B190" t="str">
            <v>Máy quang kế ngọn lửa</v>
          </cell>
          <cell r="C190" t="str">
            <v>Bộ</v>
          </cell>
          <cell r="D190">
            <v>1</v>
          </cell>
          <cell r="E190">
            <v>38888890</v>
          </cell>
          <cell r="F190">
            <v>3111110</v>
          </cell>
          <cell r="G190">
            <v>42000000</v>
          </cell>
          <cell r="H190" t="str">
            <v>Quang kế ngọn lửa Trung Quốc - FP-640</v>
          </cell>
        </row>
        <row r="191">
          <cell r="B191" t="str">
            <v>Tủ hút</v>
          </cell>
          <cell r="C191" t="str">
            <v>Cái</v>
          </cell>
          <cell r="D191">
            <v>1</v>
          </cell>
          <cell r="E191">
            <v>46296297</v>
          </cell>
          <cell r="F191">
            <v>3703703</v>
          </cell>
          <cell r="G191">
            <v>50000000</v>
          </cell>
          <cell r="H191" t="str">
            <v>Sugol</v>
          </cell>
        </row>
        <row r="192">
          <cell r="B192" t="str">
            <v>Lò vi sóng</v>
          </cell>
          <cell r="C192" t="str">
            <v>Cái</v>
          </cell>
          <cell r="D192">
            <v>1</v>
          </cell>
          <cell r="E192">
            <v>2675926</v>
          </cell>
          <cell r="F192">
            <v>214074</v>
          </cell>
          <cell r="G192">
            <v>2890000</v>
          </cell>
          <cell r="H192" t="str">
            <v>Lò vi sóng Panasonic NN-ST34HMYUE - 25 lít - Trung Quốc</v>
          </cell>
        </row>
        <row r="193">
          <cell r="B193" t="str">
            <v>Máy quang phổ hấp AAS</v>
          </cell>
          <cell r="C193" t="str">
            <v>Bộ</v>
          </cell>
          <cell r="D193">
            <v>1</v>
          </cell>
          <cell r="E193">
            <v>361111118</v>
          </cell>
          <cell r="F193">
            <v>28888882</v>
          </cell>
          <cell r="G193">
            <v>390000000</v>
          </cell>
          <cell r="H193" t="str">
            <v>Máy quang phổ hấp thụ nguyên tử LAAS-A20 LABTRON - Anh</v>
          </cell>
        </row>
        <row r="194">
          <cell r="B194" t="str">
            <v>Bộ phân tích thủy ngân và asen MHS hoặc FIAS</v>
          </cell>
          <cell r="C194" t="str">
            <v>Bộ</v>
          </cell>
          <cell r="D194">
            <v>1</v>
          </cell>
          <cell r="E194">
            <v>32407408</v>
          </cell>
          <cell r="F194">
            <v>2592592</v>
          </cell>
          <cell r="G194">
            <v>35000000</v>
          </cell>
          <cell r="H194" t="str">
            <v>HG 131 - Hiranuama - Nhật Bản</v>
          </cell>
        </row>
        <row r="195">
          <cell r="B195" t="str">
            <v>Bộ Soxlel</v>
          </cell>
          <cell r="C195" t="str">
            <v>Bộ</v>
          </cell>
          <cell r="D195">
            <v>1</v>
          </cell>
          <cell r="E195">
            <v>37037038</v>
          </cell>
          <cell r="F195">
            <v>2962962</v>
          </cell>
          <cell r="G195">
            <v>40000000</v>
          </cell>
          <cell r="H195" t="str">
            <v>- KC 8/460</v>
          </cell>
        </row>
        <row r="196">
          <cell r="B196" t="str">
            <v>Máy cất cô chân không</v>
          </cell>
          <cell r="C196" t="str">
            <v>Bộ</v>
          </cell>
          <cell r="D196">
            <v>1</v>
          </cell>
          <cell r="E196">
            <v>46296297</v>
          </cell>
          <cell r="F196">
            <v>3703703</v>
          </cell>
          <cell r="G196">
            <v>50000000</v>
          </cell>
          <cell r="H196" t="str">
            <v>Máy cô quay chân không RE100-Pro Scilogex</v>
          </cell>
        </row>
        <row r="197">
          <cell r="B197" t="str">
            <v>Bể ổn định nhiệt</v>
          </cell>
          <cell r="C197" t="str">
            <v>Bộ</v>
          </cell>
          <cell r="D197">
            <v>1</v>
          </cell>
          <cell r="E197">
            <v>6481482</v>
          </cell>
          <cell r="F197">
            <v>518518</v>
          </cell>
          <cell r="G197">
            <v>7000000</v>
          </cell>
          <cell r="H197" t="str">
            <v>Dung tích: 20 lít - Trung Quốc</v>
          </cell>
        </row>
        <row r="198">
          <cell r="B198" t="str">
            <v>Bể siêu âm</v>
          </cell>
          <cell r="C198" t="str">
            <v>Bộ</v>
          </cell>
          <cell r="D198">
            <v>1</v>
          </cell>
          <cell r="E198">
            <v>11574074</v>
          </cell>
          <cell r="F198">
            <v>925926</v>
          </cell>
          <cell r="G198">
            <v>12500000</v>
          </cell>
          <cell r="H198" t="str">
            <v>Elmasonic S30 - Đức - 2,75 lít</v>
          </cell>
        </row>
        <row r="199">
          <cell r="B199" t="str">
            <v>Bơm chân không</v>
          </cell>
          <cell r="C199" t="str">
            <v>Bộ</v>
          </cell>
          <cell r="D199">
            <v>1</v>
          </cell>
          <cell r="E199">
            <v>2314815</v>
          </cell>
          <cell r="F199">
            <v>185185</v>
          </cell>
          <cell r="G199">
            <v>2500000</v>
          </cell>
          <cell r="H199" t="str">
            <v>Bơm chân không VE115, 1/4HP, 42 lít./ phút - Trung Quốc</v>
          </cell>
        </row>
        <row r="200">
          <cell r="B200" t="str">
            <v>Máy sắc ký khí GC</v>
          </cell>
          <cell r="C200" t="str">
            <v>Bộ</v>
          </cell>
          <cell r="D200">
            <v>1</v>
          </cell>
          <cell r="E200">
            <v>7962963118</v>
          </cell>
          <cell r="F200">
            <v>637036882</v>
          </cell>
          <cell r="G200">
            <v>8600000000</v>
          </cell>
          <cell r="H200" t="str">
            <v>Hãng sản xuất: Waters - Mỹ</v>
          </cell>
        </row>
        <row r="201">
          <cell r="B201" t="str">
            <v>Máy cô Nitơ</v>
          </cell>
          <cell r="C201" t="str">
            <v>Bộ</v>
          </cell>
          <cell r="D201">
            <v>1</v>
          </cell>
          <cell r="E201">
            <v>135185188</v>
          </cell>
          <cell r="F201">
            <v>10814812</v>
          </cell>
          <cell r="G201">
            <v>146000000</v>
          </cell>
          <cell r="H201" t="str">
            <v>Máy chưng cất đạm Kjeldahl bán tự động Pro-Nitro M - J.P.Selecta - Tây Ban Nha</v>
          </cell>
        </row>
        <row r="202">
          <cell r="B202" t="str">
            <v>Máy cắt quay chân không</v>
          </cell>
          <cell r="C202" t="str">
            <v>Bộ</v>
          </cell>
          <cell r="D202">
            <v>1</v>
          </cell>
          <cell r="E202">
            <v>46296297</v>
          </cell>
          <cell r="F202">
            <v>3703703</v>
          </cell>
          <cell r="G202">
            <v>50000000</v>
          </cell>
          <cell r="H202" t="str">
            <v>Máy cô quay chân không RE100-Pro Scilogex</v>
          </cell>
        </row>
        <row r="203">
          <cell r="B203" t="str">
            <v>Máy phân tích quang phổ AAS hoặc cực phổ</v>
          </cell>
          <cell r="C203" t="str">
            <v>Bộ</v>
          </cell>
          <cell r="D203">
            <v>1</v>
          </cell>
          <cell r="E203">
            <v>2351851898</v>
          </cell>
          <cell r="F203">
            <v>188148102</v>
          </cell>
          <cell r="G203">
            <v>2540000000</v>
          </cell>
          <cell r="H203" t="str">
            <v>Cotr AA 700 BU - Đức</v>
          </cell>
        </row>
        <row r="204">
          <cell r="B204" t="str">
            <v>Tủ ủ BOD</v>
          </cell>
          <cell r="C204" t="str">
            <v>Cái</v>
          </cell>
          <cell r="D204">
            <v>1</v>
          </cell>
          <cell r="E204">
            <v>32407408</v>
          </cell>
          <cell r="F204">
            <v>2592592</v>
          </cell>
          <cell r="G204">
            <v>35000000</v>
          </cell>
          <cell r="H204" t="str">
            <v>Tủ Ấm Memmert IN75 (74 lít)</v>
          </cell>
        </row>
        <row r="205">
          <cell r="B205" t="str">
            <v>Thiết bị phản ứng COD</v>
          </cell>
          <cell r="C205" t="str">
            <v>Bộ</v>
          </cell>
          <cell r="D205">
            <v>1</v>
          </cell>
          <cell r="E205">
            <v>16666667</v>
          </cell>
          <cell r="F205">
            <v>1333333</v>
          </cell>
          <cell r="G205">
            <v>18000000</v>
          </cell>
          <cell r="H205" t="str">
            <v>Bộ phản ứng COD ECO25 115-230V/50-60Hz Velp - Ý</v>
          </cell>
        </row>
        <row r="206">
          <cell r="B206" t="str">
            <v>Nồi hấp</v>
          </cell>
          <cell r="C206" t="str">
            <v>Bộ</v>
          </cell>
          <cell r="D206">
            <v>1</v>
          </cell>
          <cell r="E206">
            <v>31481482</v>
          </cell>
          <cell r="F206">
            <v>2518518</v>
          </cell>
          <cell r="G206">
            <v>34000000</v>
          </cell>
          <cell r="H206" t="str">
            <v>Nồi hấp 50 lít DGL-50B Trung Quốc</v>
          </cell>
        </row>
        <row r="207">
          <cell r="B207" t="str">
            <v>Vật liệu</v>
          </cell>
          <cell r="E207">
            <v>0</v>
          </cell>
          <cell r="F207">
            <v>0</v>
          </cell>
          <cell r="G207">
            <v>0</v>
          </cell>
        </row>
        <row r="208">
          <cell r="B208" t="str">
            <v>Bao đựng mẫu</v>
          </cell>
          <cell r="C208" t="str">
            <v>Cái</v>
          </cell>
          <cell r="D208">
            <v>1</v>
          </cell>
          <cell r="E208">
            <v>926</v>
          </cell>
          <cell r="F208">
            <v>74</v>
          </cell>
          <cell r="G208">
            <v>1000</v>
          </cell>
          <cell r="H208" t="str">
            <v>Việt Nam</v>
          </cell>
        </row>
        <row r="209">
          <cell r="B209" t="str">
            <v>Nước rửa dụng cụ</v>
          </cell>
          <cell r="C209" t="str">
            <v>Lít</v>
          </cell>
          <cell r="D209">
            <v>1</v>
          </cell>
          <cell r="E209">
            <v>3565</v>
          </cell>
          <cell r="F209">
            <v>285</v>
          </cell>
          <cell r="G209">
            <v>3850</v>
          </cell>
        </row>
        <row r="210">
          <cell r="B210" t="str">
            <v>Khăn lau 30x30</v>
          </cell>
          <cell r="C210" t="str">
            <v>Cái</v>
          </cell>
          <cell r="D210">
            <v>1</v>
          </cell>
          <cell r="E210">
            <v>4630</v>
          </cell>
          <cell r="F210">
            <v>370</v>
          </cell>
          <cell r="G210">
            <v>5000</v>
          </cell>
          <cell r="H210" t="str">
            <v>Vải chuyên dụng - Việt Nam</v>
          </cell>
        </row>
        <row r="211">
          <cell r="B211" t="str">
            <v>KCl</v>
          </cell>
          <cell r="C211" t="str">
            <v>Gam</v>
          </cell>
          <cell r="D211">
            <v>1</v>
          </cell>
          <cell r="E211">
            <v>1244</v>
          </cell>
          <cell r="F211">
            <v>99</v>
          </cell>
          <cell r="G211">
            <v>1343</v>
          </cell>
          <cell r="H211" t="str">
            <v>Merck - Đức</v>
          </cell>
        </row>
        <row r="212">
          <cell r="B212" t="str">
            <v>K2Cr2O7</v>
          </cell>
          <cell r="C212" t="str">
            <v>Gam</v>
          </cell>
          <cell r="D212">
            <v>1</v>
          </cell>
          <cell r="E212">
            <v>4356</v>
          </cell>
          <cell r="F212">
            <v>348</v>
          </cell>
          <cell r="G212">
            <v>4704</v>
          </cell>
          <cell r="H212" t="str">
            <v>G7</v>
          </cell>
        </row>
        <row r="213">
          <cell r="B213" t="str">
            <v>H2SO4</v>
          </cell>
          <cell r="C213" t="str">
            <v>ml</v>
          </cell>
          <cell r="D213">
            <v>1</v>
          </cell>
          <cell r="E213">
            <v>563</v>
          </cell>
          <cell r="F213">
            <v>45</v>
          </cell>
          <cell r="G213">
            <v>608</v>
          </cell>
          <cell r="H213" t="str">
            <v>Merck - Đức</v>
          </cell>
        </row>
        <row r="214">
          <cell r="B214" t="str">
            <v>FeSO4(NH4)2SO4.H2O</v>
          </cell>
          <cell r="C214" t="str">
            <v>Gam</v>
          </cell>
          <cell r="D214">
            <v>1</v>
          </cell>
          <cell r="E214">
            <v>1852</v>
          </cell>
          <cell r="F214">
            <v>148</v>
          </cell>
          <cell r="G214">
            <v>2000</v>
          </cell>
          <cell r="H214" t="str">
            <v>Đức</v>
          </cell>
        </row>
        <row r="215">
          <cell r="B215" t="str">
            <v>C12H8N2.H2O</v>
          </cell>
          <cell r="C215" t="str">
            <v>Gam</v>
          </cell>
          <cell r="D215">
            <v>1</v>
          </cell>
          <cell r="E215">
            <v>212963</v>
          </cell>
          <cell r="F215">
            <v>17037</v>
          </cell>
          <cell r="G215">
            <v>230000</v>
          </cell>
          <cell r="H215" t="str">
            <v>Merck - Đức</v>
          </cell>
        </row>
        <row r="216">
          <cell r="B216" t="str">
            <v>H3PO4</v>
          </cell>
          <cell r="C216" t="str">
            <v>ml</v>
          </cell>
          <cell r="D216">
            <v>1</v>
          </cell>
          <cell r="E216">
            <v>1497</v>
          </cell>
          <cell r="F216">
            <v>120</v>
          </cell>
          <cell r="G216">
            <v>1617</v>
          </cell>
          <cell r="H216" t="str">
            <v>G7</v>
          </cell>
        </row>
        <row r="217">
          <cell r="B217" t="str">
            <v>Diphenylamin</v>
          </cell>
          <cell r="C217" t="str">
            <v>Gam</v>
          </cell>
          <cell r="D217">
            <v>1</v>
          </cell>
          <cell r="E217">
            <v>2444</v>
          </cell>
          <cell r="F217">
            <v>196</v>
          </cell>
          <cell r="G217">
            <v>2640</v>
          </cell>
          <cell r="H217" t="str">
            <v>Đức</v>
          </cell>
        </row>
        <row r="218">
          <cell r="B218" t="str">
            <v>Cồn lau dụng cụ</v>
          </cell>
          <cell r="C218" t="str">
            <v>ml</v>
          </cell>
          <cell r="D218">
            <v>1</v>
          </cell>
          <cell r="E218">
            <v>37</v>
          </cell>
          <cell r="F218">
            <v>3</v>
          </cell>
          <cell r="G218">
            <v>40</v>
          </cell>
          <cell r="H218" t="str">
            <v>Việt Nam</v>
          </cell>
        </row>
        <row r="219">
          <cell r="B219" t="str">
            <v>Giấy lọc băng xanh</v>
          </cell>
          <cell r="C219" t="str">
            <v>Hộp</v>
          </cell>
          <cell r="D219">
            <v>1</v>
          </cell>
          <cell r="E219">
            <v>120370</v>
          </cell>
          <cell r="F219">
            <v>9630</v>
          </cell>
          <cell r="G219">
            <v>130000</v>
          </cell>
          <cell r="H219" t="str">
            <v>Trung Quốc</v>
          </cell>
        </row>
        <row r="220">
          <cell r="B220" t="str">
            <v>Na(PO3)6</v>
          </cell>
          <cell r="C220" t="str">
            <v>Gam</v>
          </cell>
          <cell r="D220">
            <v>1</v>
          </cell>
          <cell r="E220">
            <v>3704</v>
          </cell>
          <cell r="F220">
            <v>296</v>
          </cell>
          <cell r="G220">
            <v>4000</v>
          </cell>
          <cell r="H220" t="str">
            <v>Đức</v>
          </cell>
        </row>
        <row r="221">
          <cell r="B221" t="str">
            <v>Na2CO3</v>
          </cell>
          <cell r="C221" t="str">
            <v>Gam</v>
          </cell>
          <cell r="D221">
            <v>1</v>
          </cell>
          <cell r="E221">
            <v>1489</v>
          </cell>
          <cell r="F221">
            <v>119</v>
          </cell>
          <cell r="G221">
            <v>1608</v>
          </cell>
          <cell r="H221" t="str">
            <v>Merck - Đức</v>
          </cell>
        </row>
        <row r="222">
          <cell r="B222" t="str">
            <v>CH3COOH</v>
          </cell>
          <cell r="C222" t="str">
            <v>Gam</v>
          </cell>
          <cell r="D222">
            <v>1</v>
          </cell>
          <cell r="E222">
            <v>2315</v>
          </cell>
          <cell r="F222">
            <v>185</v>
          </cell>
          <cell r="G222">
            <v>2500</v>
          </cell>
          <cell r="H222" t="str">
            <v>Đức</v>
          </cell>
        </row>
        <row r="223">
          <cell r="B223" t="str">
            <v>NH4OH</v>
          </cell>
          <cell r="C223" t="str">
            <v>ml</v>
          </cell>
          <cell r="D223">
            <v>1</v>
          </cell>
          <cell r="E223">
            <v>3496</v>
          </cell>
          <cell r="F223">
            <v>280</v>
          </cell>
          <cell r="G223">
            <v>3776</v>
          </cell>
          <cell r="H223" t="str">
            <v>Sigma/ Mỹ</v>
          </cell>
        </row>
        <row r="224">
          <cell r="B224" t="str">
            <v>Etanol</v>
          </cell>
          <cell r="C224" t="str">
            <v>Gam</v>
          </cell>
          <cell r="D224">
            <v>1</v>
          </cell>
          <cell r="E224">
            <v>926</v>
          </cell>
          <cell r="F224">
            <v>74</v>
          </cell>
          <cell r="G224">
            <v>1000</v>
          </cell>
          <cell r="H224" t="str">
            <v>Việt Nam</v>
          </cell>
        </row>
        <row r="225">
          <cell r="B225" t="str">
            <v>HCl</v>
          </cell>
          <cell r="C225" t="str">
            <v>ml</v>
          </cell>
          <cell r="D225">
            <v>1</v>
          </cell>
          <cell r="E225">
            <v>4981</v>
          </cell>
          <cell r="F225">
            <v>399</v>
          </cell>
          <cell r="G225">
            <v>5380</v>
          </cell>
          <cell r="H225" t="str">
            <v>Sigma/ Mỹ</v>
          </cell>
        </row>
        <row r="226">
          <cell r="B226" t="str">
            <v>H3BO3</v>
          </cell>
          <cell r="C226" t="str">
            <v>Gam</v>
          </cell>
          <cell r="D226">
            <v>1</v>
          </cell>
          <cell r="E226">
            <v>1528</v>
          </cell>
          <cell r="F226">
            <v>122</v>
          </cell>
          <cell r="G226">
            <v>1650</v>
          </cell>
          <cell r="H226" t="str">
            <v>Merck - Đức</v>
          </cell>
        </row>
        <row r="227">
          <cell r="B227" t="str">
            <v>NaOH</v>
          </cell>
          <cell r="C227" t="str">
            <v>Gam</v>
          </cell>
          <cell r="D227">
            <v>1</v>
          </cell>
          <cell r="E227">
            <v>563</v>
          </cell>
          <cell r="F227">
            <v>45</v>
          </cell>
          <cell r="G227">
            <v>608</v>
          </cell>
          <cell r="H227" t="str">
            <v>Merck - Đức</v>
          </cell>
        </row>
        <row r="228">
          <cell r="B228" t="str">
            <v>H2SO4 tiêu chuẩn</v>
          </cell>
          <cell r="C228" t="str">
            <v>ml</v>
          </cell>
          <cell r="D228">
            <v>1</v>
          </cell>
          <cell r="E228">
            <v>2769</v>
          </cell>
          <cell r="F228">
            <v>221</v>
          </cell>
          <cell r="G228">
            <v>2990</v>
          </cell>
          <cell r="H228" t="str">
            <v>Sigma/ Mỹ</v>
          </cell>
        </row>
        <row r="229">
          <cell r="B229" t="str">
            <v>Bromocresol xanh</v>
          </cell>
          <cell r="C229" t="str">
            <v>Gam</v>
          </cell>
          <cell r="D229">
            <v>1</v>
          </cell>
          <cell r="E229">
            <v>3463</v>
          </cell>
          <cell r="F229">
            <v>277</v>
          </cell>
          <cell r="G229">
            <v>3740</v>
          </cell>
          <cell r="H229" t="str">
            <v>Đức</v>
          </cell>
        </row>
        <row r="230">
          <cell r="B230" t="str">
            <v>Metyl đỏ</v>
          </cell>
          <cell r="C230" t="str">
            <v>Gam</v>
          </cell>
          <cell r="D230">
            <v>1</v>
          </cell>
          <cell r="E230">
            <v>43111</v>
          </cell>
          <cell r="F230">
            <v>3449</v>
          </cell>
          <cell r="G230">
            <v>46560</v>
          </cell>
          <cell r="H230" t="str">
            <v>Merck - Đức</v>
          </cell>
        </row>
        <row r="231">
          <cell r="B231" t="str">
            <v>Màng lọc</v>
          </cell>
          <cell r="C231" t="str">
            <v>Cái</v>
          </cell>
          <cell r="D231">
            <v>1</v>
          </cell>
          <cell r="E231">
            <v>2750</v>
          </cell>
          <cell r="F231">
            <v>220</v>
          </cell>
          <cell r="G231">
            <v>2970</v>
          </cell>
          <cell r="H231" t="str">
            <v>Merck - Đức</v>
          </cell>
        </row>
        <row r="232">
          <cell r="B232" t="str">
            <v>(NH4)2SO4</v>
          </cell>
          <cell r="C232" t="str">
            <v>Gam</v>
          </cell>
          <cell r="D232">
            <v>1</v>
          </cell>
          <cell r="E232">
            <v>2076</v>
          </cell>
          <cell r="F232">
            <v>166</v>
          </cell>
          <cell r="G232">
            <v>2242</v>
          </cell>
          <cell r="H232" t="str">
            <v>Merck - Đức</v>
          </cell>
        </row>
        <row r="233">
          <cell r="B233" t="str">
            <v>K2SO4</v>
          </cell>
          <cell r="C233" t="str">
            <v>Gam</v>
          </cell>
          <cell r="D233">
            <v>1</v>
          </cell>
          <cell r="E233">
            <v>14370</v>
          </cell>
          <cell r="F233">
            <v>1150</v>
          </cell>
          <cell r="G233">
            <v>15520</v>
          </cell>
          <cell r="H233" t="str">
            <v>Merck - Đức</v>
          </cell>
        </row>
        <row r="234">
          <cell r="B234" t="str">
            <v>NaNO2</v>
          </cell>
          <cell r="C234" t="str">
            <v>Gam</v>
          </cell>
          <cell r="D234">
            <v>1</v>
          </cell>
          <cell r="E234">
            <v>2050</v>
          </cell>
          <cell r="F234">
            <v>164</v>
          </cell>
          <cell r="G234">
            <v>2214</v>
          </cell>
          <cell r="H234" t="str">
            <v>Merck - Đức</v>
          </cell>
        </row>
        <row r="235">
          <cell r="B235" t="str">
            <v>KNO3</v>
          </cell>
          <cell r="C235" t="str">
            <v>Gam</v>
          </cell>
          <cell r="D235">
            <v>1</v>
          </cell>
          <cell r="E235">
            <v>1296</v>
          </cell>
          <cell r="F235">
            <v>104</v>
          </cell>
          <cell r="G235">
            <v>1400</v>
          </cell>
          <cell r="H235" t="str">
            <v>Đức</v>
          </cell>
        </row>
        <row r="236">
          <cell r="B236" t="str">
            <v>HCl 1N</v>
          </cell>
          <cell r="C236" t="str">
            <v>ml</v>
          </cell>
          <cell r="D236">
            <v>1</v>
          </cell>
          <cell r="E236">
            <v>32407</v>
          </cell>
          <cell r="F236">
            <v>2593</v>
          </cell>
          <cell r="G236">
            <v>35000</v>
          </cell>
          <cell r="H236" t="str">
            <v>Đức</v>
          </cell>
        </row>
        <row r="237">
          <cell r="B237" t="str">
            <v>Na2S2O3</v>
          </cell>
          <cell r="C237" t="str">
            <v>Gam</v>
          </cell>
          <cell r="D237">
            <v>1</v>
          </cell>
          <cell r="E237">
            <v>130</v>
          </cell>
          <cell r="F237">
            <v>10</v>
          </cell>
          <cell r="G237">
            <v>140</v>
          </cell>
          <cell r="H237" t="str">
            <v>Trung Quốc</v>
          </cell>
        </row>
        <row r="238">
          <cell r="B238" t="str">
            <v xml:space="preserve">CuSO4 </v>
          </cell>
          <cell r="C238" t="str">
            <v>Gam</v>
          </cell>
          <cell r="D238">
            <v>1</v>
          </cell>
          <cell r="E238">
            <v>1852</v>
          </cell>
          <cell r="F238">
            <v>148</v>
          </cell>
          <cell r="G238">
            <v>2000</v>
          </cell>
          <cell r="H238" t="str">
            <v>Đức</v>
          </cell>
        </row>
        <row r="239">
          <cell r="B239" t="str">
            <v>Phenolphtalein</v>
          </cell>
          <cell r="C239" t="str">
            <v>Gam</v>
          </cell>
          <cell r="D239">
            <v>1</v>
          </cell>
          <cell r="E239">
            <v>22130</v>
          </cell>
          <cell r="F239">
            <v>1770</v>
          </cell>
          <cell r="G239">
            <v>23900</v>
          </cell>
          <cell r="H239" t="str">
            <v>Sigma/ Mỹ</v>
          </cell>
        </row>
        <row r="240">
          <cell r="B240" t="str">
            <v>K2S2O8</v>
          </cell>
          <cell r="C240" t="str">
            <v>Gam</v>
          </cell>
          <cell r="D240">
            <v>1</v>
          </cell>
          <cell r="E240">
            <v>1389</v>
          </cell>
          <cell r="F240">
            <v>111</v>
          </cell>
          <cell r="G240">
            <v>1500</v>
          </cell>
          <cell r="H240" t="str">
            <v>Đức</v>
          </cell>
        </row>
        <row r="241">
          <cell r="B241" t="str">
            <v>(NH4)6MO7O24.4H2O</v>
          </cell>
          <cell r="C241" t="str">
            <v>Gam</v>
          </cell>
          <cell r="D241">
            <v>1</v>
          </cell>
          <cell r="E241">
            <v>27778</v>
          </cell>
          <cell r="F241">
            <v>2222</v>
          </cell>
          <cell r="G241">
            <v>30000</v>
          </cell>
          <cell r="H241" t="str">
            <v>Đức</v>
          </cell>
        </row>
        <row r="242">
          <cell r="B242" t="str">
            <v>NaOH 1N</v>
          </cell>
          <cell r="C242" t="str">
            <v>ml</v>
          </cell>
          <cell r="D242">
            <v>1</v>
          </cell>
          <cell r="E242">
            <v>27778</v>
          </cell>
          <cell r="F242">
            <v>2222</v>
          </cell>
          <cell r="G242">
            <v>30000</v>
          </cell>
          <cell r="H242" t="str">
            <v>Đức</v>
          </cell>
        </row>
        <row r="243">
          <cell r="B243" t="str">
            <v>Kali antimontatrat</v>
          </cell>
          <cell r="C243" t="str">
            <v>Gam</v>
          </cell>
          <cell r="D243">
            <v>1</v>
          </cell>
          <cell r="E243">
            <v>6481</v>
          </cell>
          <cell r="F243">
            <v>519</v>
          </cell>
          <cell r="G243">
            <v>7000</v>
          </cell>
          <cell r="H243" t="str">
            <v>Đức</v>
          </cell>
        </row>
        <row r="244">
          <cell r="B244" t="str">
            <v>Axit Ascorbic</v>
          </cell>
          <cell r="C244" t="str">
            <v>ml</v>
          </cell>
          <cell r="D244">
            <v>1</v>
          </cell>
          <cell r="E244">
            <v>17593</v>
          </cell>
          <cell r="F244">
            <v>1407</v>
          </cell>
          <cell r="G244">
            <v>19000</v>
          </cell>
          <cell r="H244" t="str">
            <v>Sigma - Mỹ</v>
          </cell>
        </row>
        <row r="245">
          <cell r="B245" t="str">
            <v>Dung dịch chuẩn P-PO4</v>
          </cell>
          <cell r="C245" t="str">
            <v>ml</v>
          </cell>
          <cell r="D245">
            <v>1</v>
          </cell>
          <cell r="E245">
            <v>2315</v>
          </cell>
          <cell r="F245">
            <v>185</v>
          </cell>
          <cell r="G245">
            <v>2500</v>
          </cell>
          <cell r="H245" t="str">
            <v>Đức</v>
          </cell>
        </row>
        <row r="246">
          <cell r="B246" t="str">
            <v>HF</v>
          </cell>
          <cell r="C246" t="str">
            <v>Gam</v>
          </cell>
          <cell r="D246">
            <v>1</v>
          </cell>
          <cell r="E246">
            <v>2315</v>
          </cell>
          <cell r="F246">
            <v>185</v>
          </cell>
          <cell r="G246">
            <v>2500</v>
          </cell>
          <cell r="H246" t="str">
            <v>Trung Quốc</v>
          </cell>
        </row>
        <row r="247">
          <cell r="B247" t="str">
            <v>HClO4</v>
          </cell>
          <cell r="C247" t="str">
            <v>Gam</v>
          </cell>
          <cell r="D247">
            <v>1</v>
          </cell>
          <cell r="E247">
            <v>18519</v>
          </cell>
          <cell r="F247">
            <v>1481</v>
          </cell>
          <cell r="G247">
            <v>20000</v>
          </cell>
          <cell r="H247" t="str">
            <v>Merck - Đức</v>
          </cell>
        </row>
        <row r="248">
          <cell r="B248" t="str">
            <v>Dung dịch chuẩn K</v>
          </cell>
          <cell r="C248" t="str">
            <v>ml</v>
          </cell>
          <cell r="D248">
            <v>1</v>
          </cell>
          <cell r="E248">
            <v>2315</v>
          </cell>
          <cell r="F248">
            <v>185</v>
          </cell>
          <cell r="G248">
            <v>2500</v>
          </cell>
          <cell r="H248" t="str">
            <v>Đức</v>
          </cell>
        </row>
        <row r="249">
          <cell r="B249" t="str">
            <v>CsCl</v>
          </cell>
          <cell r="C249" t="str">
            <v>Gam</v>
          </cell>
          <cell r="D249">
            <v>1</v>
          </cell>
          <cell r="E249">
            <v>74074</v>
          </cell>
          <cell r="F249">
            <v>5926</v>
          </cell>
          <cell r="G249">
            <v>80000</v>
          </cell>
          <cell r="H249" t="str">
            <v>Đức</v>
          </cell>
        </row>
        <row r="250">
          <cell r="B250" t="str">
            <v>Al(NO3)3</v>
          </cell>
          <cell r="C250" t="str">
            <v>ml</v>
          </cell>
          <cell r="D250">
            <v>1</v>
          </cell>
          <cell r="E250">
            <v>2778</v>
          </cell>
          <cell r="F250">
            <v>222</v>
          </cell>
          <cell r="G250">
            <v>3000</v>
          </cell>
          <cell r="H250" t="str">
            <v>Đức</v>
          </cell>
        </row>
        <row r="251">
          <cell r="B251" t="str">
            <v>MgCl2</v>
          </cell>
          <cell r="C251" t="str">
            <v>Gam</v>
          </cell>
          <cell r="D251">
            <v>1</v>
          </cell>
          <cell r="E251">
            <v>1574</v>
          </cell>
          <cell r="F251">
            <v>126</v>
          </cell>
          <cell r="G251">
            <v>1700</v>
          </cell>
          <cell r="H251" t="str">
            <v>Đức</v>
          </cell>
        </row>
        <row r="252">
          <cell r="B252" t="str">
            <v>CH3COONa</v>
          </cell>
          <cell r="C252" t="str">
            <v>Gam</v>
          </cell>
          <cell r="D252">
            <v>1</v>
          </cell>
          <cell r="E252">
            <v>175</v>
          </cell>
          <cell r="F252">
            <v>14</v>
          </cell>
          <cell r="G252">
            <v>189</v>
          </cell>
          <cell r="H252" t="str">
            <v>Trung Quốc</v>
          </cell>
        </row>
        <row r="253">
          <cell r="B253" t="str">
            <v>BaCl2</v>
          </cell>
          <cell r="C253" t="str">
            <v>Gam</v>
          </cell>
          <cell r="D253">
            <v>1</v>
          </cell>
          <cell r="E253">
            <v>1389</v>
          </cell>
          <cell r="F253">
            <v>111</v>
          </cell>
          <cell r="G253">
            <v>1500</v>
          </cell>
          <cell r="H253" t="str">
            <v>Đức</v>
          </cell>
        </row>
        <row r="254">
          <cell r="B254" t="str">
            <v xml:space="preserve">Na2SO4 </v>
          </cell>
          <cell r="C254" t="str">
            <v>Gam</v>
          </cell>
          <cell r="D254">
            <v>1</v>
          </cell>
          <cell r="E254">
            <v>370</v>
          </cell>
          <cell r="F254">
            <v>30</v>
          </cell>
          <cell r="G254">
            <v>400</v>
          </cell>
          <cell r="H254" t="str">
            <v>Đức</v>
          </cell>
        </row>
        <row r="255">
          <cell r="B255" t="str">
            <v>Dung dịch chuẩn gốc 1000ppm</v>
          </cell>
          <cell r="C255" t="str">
            <v>ml</v>
          </cell>
          <cell r="D255">
            <v>1</v>
          </cell>
          <cell r="E255">
            <v>3519</v>
          </cell>
          <cell r="F255">
            <v>281</v>
          </cell>
          <cell r="G255">
            <v>3800</v>
          </cell>
          <cell r="H255" t="str">
            <v>Merck</v>
          </cell>
        </row>
        <row r="256">
          <cell r="B256" t="str">
            <v>H2O2</v>
          </cell>
          <cell r="C256" t="str">
            <v>ml</v>
          </cell>
          <cell r="D256">
            <v>1</v>
          </cell>
          <cell r="E256">
            <v>833</v>
          </cell>
          <cell r="F256">
            <v>67</v>
          </cell>
          <cell r="G256">
            <v>900</v>
          </cell>
          <cell r="H256" t="str">
            <v>Đức</v>
          </cell>
        </row>
        <row r="257">
          <cell r="B257" t="str">
            <v>HNO3</v>
          </cell>
          <cell r="C257" t="str">
            <v>ml</v>
          </cell>
          <cell r="D257">
            <v>1</v>
          </cell>
          <cell r="E257">
            <v>65</v>
          </cell>
          <cell r="F257">
            <v>5</v>
          </cell>
          <cell r="G257">
            <v>70</v>
          </cell>
          <cell r="H257" t="str">
            <v>Trung Quốc</v>
          </cell>
        </row>
        <row r="258">
          <cell r="B258" t="str">
            <v>NH4NO3</v>
          </cell>
          <cell r="C258" t="str">
            <v>Gam</v>
          </cell>
          <cell r="D258">
            <v>1</v>
          </cell>
          <cell r="E258">
            <v>370</v>
          </cell>
          <cell r="F258">
            <v>30</v>
          </cell>
          <cell r="G258">
            <v>400</v>
          </cell>
          <cell r="H258" t="str">
            <v>Trung Quốc</v>
          </cell>
        </row>
        <row r="259">
          <cell r="B259" t="str">
            <v>Giấy lau</v>
          </cell>
          <cell r="C259" t="str">
            <v>Hộp</v>
          </cell>
          <cell r="D259">
            <v>1</v>
          </cell>
          <cell r="E259">
            <v>18519</v>
          </cell>
          <cell r="F259">
            <v>1481</v>
          </cell>
          <cell r="G259">
            <v>20000</v>
          </cell>
          <cell r="H259" t="str">
            <v>Việt Nam</v>
          </cell>
        </row>
        <row r="260">
          <cell r="B260" t="str">
            <v>Dung dịch chuẩn mix 13</v>
          </cell>
          <cell r="C260" t="str">
            <v>ml</v>
          </cell>
          <cell r="D260">
            <v>1</v>
          </cell>
          <cell r="E260">
            <v>69444</v>
          </cell>
          <cell r="F260">
            <v>5556</v>
          </cell>
          <cell r="G260">
            <v>75000</v>
          </cell>
          <cell r="H260" t="str">
            <v>Đức</v>
          </cell>
        </row>
        <row r="261">
          <cell r="B261" t="str">
            <v>Dung dịch nội chuẩn</v>
          </cell>
          <cell r="C261" t="str">
            <v>ml</v>
          </cell>
          <cell r="D261">
            <v>1</v>
          </cell>
          <cell r="E261">
            <v>30556</v>
          </cell>
          <cell r="F261">
            <v>2444</v>
          </cell>
          <cell r="G261">
            <v>33000</v>
          </cell>
          <cell r="H261" t="str">
            <v>Đức</v>
          </cell>
        </row>
        <row r="262">
          <cell r="B262" t="str">
            <v>CH2C12</v>
          </cell>
          <cell r="C262" t="str">
            <v>ml</v>
          </cell>
          <cell r="D262">
            <v>1</v>
          </cell>
          <cell r="E262">
            <v>1435</v>
          </cell>
          <cell r="F262">
            <v>115</v>
          </cell>
          <cell r="G262">
            <v>1550</v>
          </cell>
          <cell r="H262" t="str">
            <v>Merck - Đức</v>
          </cell>
        </row>
        <row r="263">
          <cell r="B263" t="str">
            <v>Aceton</v>
          </cell>
          <cell r="C263" t="str">
            <v>ml</v>
          </cell>
          <cell r="D263">
            <v>1</v>
          </cell>
          <cell r="E263">
            <v>148</v>
          </cell>
          <cell r="F263">
            <v>12</v>
          </cell>
          <cell r="G263">
            <v>160</v>
          </cell>
          <cell r="H263" t="str">
            <v>Trung Quốc</v>
          </cell>
        </row>
        <row r="264">
          <cell r="B264" t="str">
            <v>n-Hexan</v>
          </cell>
          <cell r="C264" t="str">
            <v>ml</v>
          </cell>
          <cell r="D264">
            <v>1</v>
          </cell>
          <cell r="E264">
            <v>148</v>
          </cell>
          <cell r="F264">
            <v>12</v>
          </cell>
          <cell r="G264">
            <v>160</v>
          </cell>
          <cell r="H264" t="str">
            <v>Trung Quốc</v>
          </cell>
        </row>
        <row r="265">
          <cell r="B265" t="str">
            <v>Chiết pha rắn SPE</v>
          </cell>
          <cell r="C265" t="str">
            <v>Cái</v>
          </cell>
          <cell r="D265">
            <v>1</v>
          </cell>
          <cell r="E265">
            <v>61111</v>
          </cell>
          <cell r="F265">
            <v>4889</v>
          </cell>
          <cell r="G265">
            <v>66000</v>
          </cell>
          <cell r="H265" t="str">
            <v>HF Bond Eclut-C18</v>
          </cell>
        </row>
        <row r="266">
          <cell r="B266" t="str">
            <v>Septa cho vial</v>
          </cell>
          <cell r="C266" t="str">
            <v>Cái</v>
          </cell>
          <cell r="D266">
            <v>1</v>
          </cell>
          <cell r="E266">
            <v>6019</v>
          </cell>
          <cell r="F266">
            <v>481</v>
          </cell>
          <cell r="G266">
            <v>6500</v>
          </cell>
          <cell r="H266" t="str">
            <v>Agilent</v>
          </cell>
        </row>
        <row r="267">
          <cell r="B267" t="str">
            <v>Vial</v>
          </cell>
          <cell r="C267" t="str">
            <v>Cái</v>
          </cell>
          <cell r="D267">
            <v>1</v>
          </cell>
          <cell r="E267">
            <v>13889</v>
          </cell>
          <cell r="F267">
            <v>1111</v>
          </cell>
          <cell r="G267">
            <v>15000</v>
          </cell>
          <cell r="H267" t="str">
            <v>Đức</v>
          </cell>
        </row>
        <row r="268">
          <cell r="B268" t="str">
            <v>Bông thủy tinh</v>
          </cell>
          <cell r="C268" t="str">
            <v>Gam</v>
          </cell>
          <cell r="D268">
            <v>1</v>
          </cell>
          <cell r="E268">
            <v>3704</v>
          </cell>
          <cell r="F268">
            <v>296</v>
          </cell>
          <cell r="G268">
            <v>4000</v>
          </cell>
          <cell r="H268" t="str">
            <v>Hàn Quốc</v>
          </cell>
        </row>
        <row r="269">
          <cell r="B269" t="str">
            <v>Pipet Pasteur</v>
          </cell>
          <cell r="C269" t="str">
            <v>Cái</v>
          </cell>
          <cell r="D269">
            <v>1</v>
          </cell>
          <cell r="E269">
            <v>556</v>
          </cell>
          <cell r="F269">
            <v>44</v>
          </cell>
          <cell r="G269">
            <v>600</v>
          </cell>
          <cell r="H269" t="str">
            <v>Pipet pasteur 3ml Aptaca-Ý</v>
          </cell>
        </row>
        <row r="270">
          <cell r="B270" t="str">
            <v>Khí Nitơ</v>
          </cell>
          <cell r="C270" t="str">
            <v>Bình</v>
          </cell>
          <cell r="D270">
            <v>1</v>
          </cell>
          <cell r="E270">
            <v>2407407</v>
          </cell>
          <cell r="F270">
            <v>192593</v>
          </cell>
          <cell r="G270">
            <v>2600000</v>
          </cell>
          <cell r="H270" t="str">
            <v>Meesser</v>
          </cell>
        </row>
        <row r="271">
          <cell r="B271" t="str">
            <v>Khí Heli</v>
          </cell>
          <cell r="C271" t="str">
            <v>Bình</v>
          </cell>
          <cell r="D271">
            <v>1</v>
          </cell>
          <cell r="E271">
            <v>8194445</v>
          </cell>
          <cell r="F271">
            <v>655555</v>
          </cell>
          <cell r="G271">
            <v>8850000</v>
          </cell>
          <cell r="H271" t="str">
            <v>Meesser</v>
          </cell>
        </row>
        <row r="272">
          <cell r="B272" t="str">
            <v>Dung dịch chuẩn hỗn hợp nhóm Pyrethroid</v>
          </cell>
          <cell r="C272" t="str">
            <v>ml</v>
          </cell>
          <cell r="D272">
            <v>1</v>
          </cell>
          <cell r="E272">
            <v>4814815</v>
          </cell>
          <cell r="F272">
            <v>385185</v>
          </cell>
          <cell r="G272">
            <v>5200000</v>
          </cell>
          <cell r="H272" t="str">
            <v>Đức</v>
          </cell>
        </row>
        <row r="273">
          <cell r="B273" t="str">
            <v>FeCl3.6H2O</v>
          </cell>
          <cell r="C273" t="str">
            <v>Gam</v>
          </cell>
          <cell r="D273">
            <v>1</v>
          </cell>
          <cell r="E273">
            <v>2813</v>
          </cell>
          <cell r="F273">
            <v>225</v>
          </cell>
          <cell r="G273">
            <v>3038</v>
          </cell>
          <cell r="H273" t="str">
            <v>Scharlau - Tây Ban Nha</v>
          </cell>
        </row>
        <row r="274">
          <cell r="B274" t="str">
            <v>CaCl2</v>
          </cell>
          <cell r="C274" t="str">
            <v>Gam</v>
          </cell>
          <cell r="D274">
            <v>1</v>
          </cell>
          <cell r="E274">
            <v>1489</v>
          </cell>
          <cell r="F274">
            <v>119</v>
          </cell>
          <cell r="G274">
            <v>1608</v>
          </cell>
          <cell r="H274" t="str">
            <v>Merck-Đức</v>
          </cell>
        </row>
        <row r="275">
          <cell r="B275" t="str">
            <v>MgSO4.7H2O</v>
          </cell>
          <cell r="C275" t="str">
            <v>Gam</v>
          </cell>
          <cell r="D275">
            <v>1</v>
          </cell>
          <cell r="E275">
            <v>1497</v>
          </cell>
          <cell r="F275">
            <v>120</v>
          </cell>
          <cell r="G275">
            <v>1617</v>
          </cell>
          <cell r="H275" t="str">
            <v>Merck-Đức</v>
          </cell>
        </row>
        <row r="276">
          <cell r="B276" t="str">
            <v>KH2PO4</v>
          </cell>
          <cell r="C276" t="str">
            <v>Gam</v>
          </cell>
          <cell r="D276">
            <v>1</v>
          </cell>
          <cell r="E276">
            <v>148</v>
          </cell>
          <cell r="F276">
            <v>12</v>
          </cell>
          <cell r="G276">
            <v>160</v>
          </cell>
          <cell r="H276" t="str">
            <v>Trung Quốc</v>
          </cell>
        </row>
        <row r="277">
          <cell r="B277" t="str">
            <v>Na2HPO4</v>
          </cell>
          <cell r="C277" t="str">
            <v>Gam</v>
          </cell>
          <cell r="D277">
            <v>1</v>
          </cell>
          <cell r="E277">
            <v>2659</v>
          </cell>
          <cell r="F277">
            <v>213</v>
          </cell>
          <cell r="G277">
            <v>2872</v>
          </cell>
          <cell r="H277" t="str">
            <v>Merck-Đức</v>
          </cell>
        </row>
        <row r="278">
          <cell r="B278" t="str">
            <v>NH4Cl</v>
          </cell>
          <cell r="C278" t="str">
            <v>Gam</v>
          </cell>
          <cell r="D278">
            <v>1</v>
          </cell>
          <cell r="E278">
            <v>1815</v>
          </cell>
          <cell r="F278">
            <v>145</v>
          </cell>
          <cell r="G278">
            <v>1960</v>
          </cell>
          <cell r="H278" t="str">
            <v>Merck-Đức</v>
          </cell>
        </row>
        <row r="279">
          <cell r="B279" t="str">
            <v>Gluco</v>
          </cell>
          <cell r="C279" t="str">
            <v>Gam</v>
          </cell>
          <cell r="D279">
            <v>1</v>
          </cell>
          <cell r="E279">
            <v>1481</v>
          </cell>
          <cell r="F279">
            <v>119</v>
          </cell>
          <cell r="G279">
            <v>1600</v>
          </cell>
          <cell r="H279" t="str">
            <v>Erba-Đức</v>
          </cell>
        </row>
        <row r="280">
          <cell r="B280" t="str">
            <v>Polyseed</v>
          </cell>
          <cell r="C280" t="str">
            <v>Viên</v>
          </cell>
          <cell r="D280">
            <v>1</v>
          </cell>
          <cell r="E280">
            <v>85296</v>
          </cell>
          <cell r="F280">
            <v>6824</v>
          </cell>
          <cell r="G280">
            <v>92120</v>
          </cell>
          <cell r="H280" t="str">
            <v>Hach</v>
          </cell>
        </row>
        <row r="281">
          <cell r="B281" t="str">
            <v>Glutamic</v>
          </cell>
          <cell r="C281" t="str">
            <v>Gam</v>
          </cell>
          <cell r="D281">
            <v>1</v>
          </cell>
          <cell r="E281">
            <v>1472</v>
          </cell>
          <cell r="F281">
            <v>118</v>
          </cell>
          <cell r="G281">
            <v>1590</v>
          </cell>
          <cell r="H281" t="str">
            <v>Trung Quốc</v>
          </cell>
        </row>
        <row r="282">
          <cell r="B282" t="str">
            <v>Giấy pH</v>
          </cell>
          <cell r="C282" t="str">
            <v>Hộp</v>
          </cell>
          <cell r="D282">
            <v>1</v>
          </cell>
          <cell r="E282">
            <v>370370</v>
          </cell>
          <cell r="F282">
            <v>29630</v>
          </cell>
          <cell r="G282">
            <v>400000</v>
          </cell>
          <cell r="H282" t="str">
            <v>Xilong-China</v>
          </cell>
        </row>
        <row r="283">
          <cell r="B283" t="str">
            <v>Ag2SO4</v>
          </cell>
          <cell r="C283" t="str">
            <v>Gam</v>
          </cell>
          <cell r="D283">
            <v>1</v>
          </cell>
          <cell r="E283">
            <v>154352</v>
          </cell>
          <cell r="F283">
            <v>12348</v>
          </cell>
          <cell r="G283">
            <v>166700</v>
          </cell>
          <cell r="H283" t="str">
            <v>Merck-Đức</v>
          </cell>
        </row>
        <row r="284">
          <cell r="B284" t="str">
            <v>HgSO4</v>
          </cell>
          <cell r="C284" t="str">
            <v>Gam</v>
          </cell>
          <cell r="D284">
            <v>1</v>
          </cell>
          <cell r="E284">
            <v>20370</v>
          </cell>
          <cell r="F284">
            <v>1630</v>
          </cell>
          <cell r="G284">
            <v>22000</v>
          </cell>
          <cell r="H284" t="str">
            <v>Đức</v>
          </cell>
        </row>
        <row r="285">
          <cell r="B285" t="str">
            <v>(NH4)2Fe(SO4)2.6H2O</v>
          </cell>
          <cell r="C285" t="str">
            <v>Gam</v>
          </cell>
          <cell r="D285">
            <v>1</v>
          </cell>
          <cell r="E285">
            <v>24889</v>
          </cell>
          <cell r="F285">
            <v>1991</v>
          </cell>
          <cell r="G285">
            <v>26880</v>
          </cell>
          <cell r="H285" t="str">
            <v>Sigma/ Mỹ</v>
          </cell>
        </row>
        <row r="286">
          <cell r="B286" t="str">
            <v>FeSO4.7H2O</v>
          </cell>
          <cell r="C286" t="str">
            <v>Gam</v>
          </cell>
          <cell r="D286">
            <v>1</v>
          </cell>
          <cell r="E286">
            <v>1225</v>
          </cell>
          <cell r="F286">
            <v>98</v>
          </cell>
          <cell r="G286">
            <v>1323</v>
          </cell>
          <cell r="H286" t="str">
            <v>Scharlau - Tây Ban Nha</v>
          </cell>
        </row>
        <row r="287">
          <cell r="B287" t="str">
            <v>Ống chuẩn K2Cr2O7 0.1N</v>
          </cell>
          <cell r="C287" t="str">
            <v>Ống</v>
          </cell>
          <cell r="D287">
            <v>1</v>
          </cell>
          <cell r="E287">
            <v>666667</v>
          </cell>
          <cell r="F287">
            <v>53333</v>
          </cell>
          <cell r="G287">
            <v>720000</v>
          </cell>
          <cell r="H287" t="str">
            <v>Merck-Đức</v>
          </cell>
        </row>
        <row r="288">
          <cell r="B288" t="str">
            <v>Kali phatalat</v>
          </cell>
          <cell r="C288" t="str">
            <v>Gam</v>
          </cell>
          <cell r="D288">
            <v>1</v>
          </cell>
          <cell r="E288">
            <v>1852</v>
          </cell>
          <cell r="F288">
            <v>148</v>
          </cell>
          <cell r="G288">
            <v>2000</v>
          </cell>
          <cell r="H288" t="str">
            <v>Đức</v>
          </cell>
        </row>
        <row r="289">
          <cell r="B289" t="str">
            <v>Dung dịch NH4+ chuẩn</v>
          </cell>
          <cell r="C289" t="str">
            <v>ml</v>
          </cell>
          <cell r="D289">
            <v>1</v>
          </cell>
          <cell r="E289">
            <v>2315</v>
          </cell>
          <cell r="F289">
            <v>185</v>
          </cell>
          <cell r="G289">
            <v>2500</v>
          </cell>
          <cell r="H289" t="str">
            <v>Đức</v>
          </cell>
        </row>
        <row r="290">
          <cell r="B290" t="str">
            <v>NaC7H5NaO3</v>
          </cell>
          <cell r="C290" t="str">
            <v>Gam</v>
          </cell>
          <cell r="D290">
            <v>1</v>
          </cell>
          <cell r="E290">
            <v>278</v>
          </cell>
          <cell r="F290">
            <v>22</v>
          </cell>
          <cell r="G290">
            <v>300</v>
          </cell>
          <cell r="H290" t="str">
            <v>Trung Quốc</v>
          </cell>
        </row>
        <row r="291">
          <cell r="B291" t="str">
            <v>Na3C6H5O7.2H2O</v>
          </cell>
          <cell r="C291" t="str">
            <v>Gam</v>
          </cell>
          <cell r="D291">
            <v>1</v>
          </cell>
          <cell r="E291">
            <v>278</v>
          </cell>
          <cell r="F291">
            <v>22</v>
          </cell>
          <cell r="G291">
            <v>300</v>
          </cell>
          <cell r="H291" t="str">
            <v>Trung Quốc, tinh khiết 99,99%</v>
          </cell>
        </row>
        <row r="292">
          <cell r="B292" t="str">
            <v>NaClO</v>
          </cell>
          <cell r="C292" t="str">
            <v>ml</v>
          </cell>
          <cell r="D292">
            <v>1</v>
          </cell>
          <cell r="E292">
            <v>111</v>
          </cell>
          <cell r="F292">
            <v>9</v>
          </cell>
          <cell r="G292">
            <v>120</v>
          </cell>
          <cell r="H292" t="str">
            <v>Trung Quốc</v>
          </cell>
        </row>
        <row r="293">
          <cell r="B293" t="str">
            <v>Na2[Fe(CN)5.NO].2H2O</v>
          </cell>
          <cell r="C293" t="str">
            <v>Gam</v>
          </cell>
          <cell r="D293">
            <v>1</v>
          </cell>
          <cell r="E293">
            <v>926</v>
          </cell>
          <cell r="F293">
            <v>74</v>
          </cell>
          <cell r="G293">
            <v>1000</v>
          </cell>
          <cell r="H293" t="str">
            <v>Trung Quốc</v>
          </cell>
        </row>
        <row r="294">
          <cell r="B294" t="str">
            <v>C3N3O3C12Na.2H2O</v>
          </cell>
          <cell r="C294" t="str">
            <v>Gam</v>
          </cell>
          <cell r="D294">
            <v>1</v>
          </cell>
          <cell r="E294">
            <v>7407</v>
          </cell>
          <cell r="F294">
            <v>593</v>
          </cell>
          <cell r="G294">
            <v>8000</v>
          </cell>
          <cell r="H294" t="str">
            <v>Trung Quốc</v>
          </cell>
        </row>
        <row r="295">
          <cell r="B295" t="str">
            <v>H2SO4 5N</v>
          </cell>
          <cell r="C295" t="str">
            <v>ml</v>
          </cell>
          <cell r="D295">
            <v>1</v>
          </cell>
          <cell r="E295">
            <v>2769</v>
          </cell>
          <cell r="F295">
            <v>221</v>
          </cell>
          <cell r="G295">
            <v>2990</v>
          </cell>
          <cell r="H295" t="str">
            <v>Sigma/ Mỹ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ONGHOP_DGSP"/>
      <sheetName val="DGSP_DayDu"/>
      <sheetName val="Nhan-cong-1"/>
      <sheetName val="Nhan-cong-2"/>
      <sheetName val="Nhan-cong-3"/>
      <sheetName val="Nhan-cong-4"/>
      <sheetName val="Nhan-cong-5"/>
      <sheetName val="Nhan-cong-6"/>
      <sheetName val="Nhan-cong-7"/>
      <sheetName val="Nhan-cong-8"/>
      <sheetName val="Nhan-cong-9"/>
      <sheetName val="Nhan-cong-10"/>
      <sheetName val="Dung_Cu-2"/>
      <sheetName val="Thiet_Bi-3"/>
      <sheetName val="Vat_Lieu-4"/>
      <sheetName val="L_CBac-5"/>
      <sheetName val="Gia_DC-TB-VT-6"/>
      <sheetName val="So-sanh"/>
      <sheetName val="ĐM-50"/>
    </sheetNames>
    <sheetDataSet>
      <sheetData sheetId="0">
        <row r="6">
          <cell r="D6">
            <v>393670.7879916266</v>
          </cell>
          <cell r="E6">
            <v>409048.06105296483</v>
          </cell>
          <cell r="F6">
            <v>427023.04640641029</v>
          </cell>
        </row>
        <row r="15">
          <cell r="E15">
            <v>637424.6126006284</v>
          </cell>
          <cell r="F15">
            <v>681655.44255102903</v>
          </cell>
          <cell r="G15">
            <v>734669.86634758359</v>
          </cell>
          <cell r="H15">
            <v>726729.08860567654</v>
          </cell>
        </row>
        <row r="54">
          <cell r="D54">
            <v>1767521.4896791666</v>
          </cell>
          <cell r="E54">
            <v>1811994.8646791666</v>
          </cell>
          <cell r="F54">
            <v>1860915.5771791665</v>
          </cell>
          <cell r="G54">
            <v>1914283.6271791665</v>
          </cell>
          <cell r="H54">
            <v>1972099.0146791665</v>
          </cell>
        </row>
        <row r="55">
          <cell r="D55">
            <v>2349547.0914429165</v>
          </cell>
          <cell r="E55">
            <v>2407362.4789429167</v>
          </cell>
          <cell r="F55">
            <v>2470959.4051929163</v>
          </cell>
          <cell r="G55">
            <v>2540782.6039429172</v>
          </cell>
          <cell r="H55">
            <v>2616387.341442917</v>
          </cell>
        </row>
        <row r="67">
          <cell r="D67">
            <v>347316.86525848717</v>
          </cell>
          <cell r="E67">
            <v>363340.60977487342</v>
          </cell>
          <cell r="F67">
            <v>382663.79111533822</v>
          </cell>
        </row>
        <row r="74">
          <cell r="E74">
            <v>372479.41271469719</v>
          </cell>
          <cell r="F74">
            <v>391565.87425315869</v>
          </cell>
          <cell r="G74">
            <v>414469.62809931266</v>
          </cell>
          <cell r="H74">
            <v>441826.88963777415</v>
          </cell>
        </row>
      </sheetData>
      <sheetData sheetId="1">
        <row r="105">
          <cell r="L105">
            <v>1519454.4024051281</v>
          </cell>
          <cell r="U105">
            <v>1585643.5149051282</v>
          </cell>
          <cell r="AD105">
            <v>2232729.7272666669</v>
          </cell>
        </row>
        <row r="106">
          <cell r="L106">
            <v>1566689.6793282051</v>
          </cell>
          <cell r="U106">
            <v>1632878.7918282051</v>
          </cell>
          <cell r="AD106">
            <v>2294135.5872666668</v>
          </cell>
        </row>
        <row r="107">
          <cell r="L107">
            <v>1618648.4839435897</v>
          </cell>
          <cell r="U107">
            <v>1684837.5964435898</v>
          </cell>
          <cell r="AD107">
            <v>2361784.1957282051</v>
          </cell>
        </row>
        <row r="108">
          <cell r="L108">
            <v>1675892.5116358972</v>
          </cell>
          <cell r="U108">
            <v>1742081.6241358973</v>
          </cell>
          <cell r="AD108">
            <v>2436007.2834205129</v>
          </cell>
        </row>
        <row r="109">
          <cell r="L109">
            <v>1736442.6124051281</v>
          </cell>
          <cell r="U109">
            <v>1802631.7249051281</v>
          </cell>
          <cell r="AD109">
            <v>2515055.6649589743</v>
          </cell>
        </row>
        <row r="172">
          <cell r="L172">
            <v>1617277.4396791665</v>
          </cell>
        </row>
        <row r="173">
          <cell r="L173">
            <v>1661750.8146791665</v>
          </cell>
        </row>
        <row r="174">
          <cell r="L174">
            <v>1710671.5271791667</v>
          </cell>
        </row>
        <row r="175">
          <cell r="L175">
            <v>1764484.3109291666</v>
          </cell>
        </row>
        <row r="176">
          <cell r="L176">
            <v>1821854.9646791667</v>
          </cell>
        </row>
        <row r="283">
          <cell r="L283">
            <v>526414.60211522446</v>
          </cell>
          <cell r="U283">
            <v>481130.76461522444</v>
          </cell>
          <cell r="AD283">
            <v>669838.06188979186</v>
          </cell>
        </row>
        <row r="311">
          <cell r="L311">
            <v>792182.29217753222</v>
          </cell>
          <cell r="U311">
            <v>916210.07967753219</v>
          </cell>
          <cell r="AD311">
            <v>1181793.7586407918</v>
          </cell>
        </row>
        <row r="338">
          <cell r="L338">
            <v>1480145.3715884294</v>
          </cell>
          <cell r="U338">
            <v>1452264.4840884295</v>
          </cell>
          <cell r="AD338">
            <v>1909903.9988549585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6">
          <cell r="D6">
            <v>252426.59015383915</v>
          </cell>
          <cell r="E6">
            <v>263511.41833679192</v>
          </cell>
          <cell r="F6">
            <v>276133.89832769765</v>
          </cell>
        </row>
        <row r="15">
          <cell r="E15">
            <v>543261.55304151739</v>
          </cell>
          <cell r="F15">
            <v>571946.19344154757</v>
          </cell>
          <cell r="G15">
            <v>598010.45755311614</v>
          </cell>
          <cell r="H15">
            <v>636643.12667006918</v>
          </cell>
        </row>
        <row r="26">
          <cell r="D26">
            <v>884080.28697628214</v>
          </cell>
          <cell r="E26">
            <v>908761.7550532053</v>
          </cell>
          <cell r="F26">
            <v>938379.51674551296</v>
          </cell>
          <cell r="G26">
            <v>967997.27843782073</v>
          </cell>
          <cell r="H26">
            <v>1002551.3337455129</v>
          </cell>
        </row>
        <row r="27">
          <cell r="D27">
            <v>887779.1348128207</v>
          </cell>
          <cell r="E27">
            <v>912460.60288974387</v>
          </cell>
          <cell r="F27">
            <v>942078.36458205141</v>
          </cell>
          <cell r="G27">
            <v>971696.12627435918</v>
          </cell>
          <cell r="H27">
            <v>1006250.1815820514</v>
          </cell>
        </row>
        <row r="28">
          <cell r="D28">
            <v>1141916.801836859</v>
          </cell>
          <cell r="E28">
            <v>1174002.7103368591</v>
          </cell>
          <cell r="F28">
            <v>1209050.3950060899</v>
          </cell>
          <cell r="G28">
            <v>1248047.1145676284</v>
          </cell>
          <cell r="H28">
            <v>1290499.2396599359</v>
          </cell>
        </row>
        <row r="53">
          <cell r="D53">
            <v>1402086.7825967951</v>
          </cell>
          <cell r="E53">
            <v>1439507.4287506412</v>
          </cell>
          <cell r="F53">
            <v>1480670.1395198721</v>
          </cell>
          <cell r="G53">
            <v>1525574.9149044873</v>
          </cell>
          <cell r="H53">
            <v>1574221.7549044876</v>
          </cell>
        </row>
        <row r="54">
          <cell r="D54">
            <v>1395057.7006256413</v>
          </cell>
          <cell r="E54">
            <v>1432478.3467794873</v>
          </cell>
          <cell r="F54">
            <v>1473641.0575487183</v>
          </cell>
          <cell r="G54">
            <v>1518545.8329333335</v>
          </cell>
          <cell r="H54">
            <v>1567192.6729333336</v>
          </cell>
        </row>
        <row r="55">
          <cell r="D55">
            <v>1825029.7499714107</v>
          </cell>
          <cell r="E55">
            <v>1873676.5899714106</v>
          </cell>
          <cell r="F55">
            <v>1926065.4945867953</v>
          </cell>
          <cell r="G55">
            <v>1985938.5284329492</v>
          </cell>
          <cell r="H55">
            <v>2049553.6268944875</v>
          </cell>
        </row>
        <row r="67">
          <cell r="D67">
            <v>177542.02685471383</v>
          </cell>
          <cell r="E67">
            <v>188690.37105299995</v>
          </cell>
          <cell r="F67">
            <v>202101.7309418798</v>
          </cell>
        </row>
        <row r="74">
          <cell r="E74">
            <v>237314.9163058167</v>
          </cell>
          <cell r="F74">
            <v>252123.79715197053</v>
          </cell>
          <cell r="G74">
            <v>269894.45416735514</v>
          </cell>
          <cell r="H74">
            <v>291219.24258581665</v>
          </cell>
        </row>
        <row r="83">
          <cell r="D83">
            <v>409497.16547564103</v>
          </cell>
          <cell r="E83">
            <v>409497.16547564103</v>
          </cell>
        </row>
        <row r="84">
          <cell r="D84">
            <v>413196.01331217948</v>
          </cell>
        </row>
        <row r="85">
          <cell r="D85">
            <v>516306.91528391029</v>
          </cell>
        </row>
        <row r="102">
          <cell r="D102">
            <v>538479.64204483968</v>
          </cell>
        </row>
        <row r="103">
          <cell r="D103">
            <v>654440.42834291665</v>
          </cell>
        </row>
        <row r="104">
          <cell r="D104">
            <v>810878.70282271481</v>
          </cell>
        </row>
        <row r="121">
          <cell r="D121">
            <v>941579.76634615415</v>
          </cell>
        </row>
        <row r="122">
          <cell r="D122">
            <v>1140799.5860759297</v>
          </cell>
        </row>
        <row r="123">
          <cell r="D123">
            <v>1471752.1019056314</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
    <tabColor rgb="FFFF0000"/>
  </sheetPr>
  <dimension ref="A1:AL84"/>
  <sheetViews>
    <sheetView showZeros="0" zoomScaleNormal="100" workbookViewId="0">
      <pane xSplit="4" ySplit="6" topLeftCell="E83" activePane="bottomRight" state="frozen"/>
      <selection pane="topRight" activeCell="E1" sqref="E1"/>
      <selection pane="bottomLeft" activeCell="A7" sqref="A7"/>
      <selection pane="bottomRight" activeCell="L108" sqref="L108"/>
    </sheetView>
  </sheetViews>
  <sheetFormatPr defaultColWidth="9" defaultRowHeight="12.75"/>
  <cols>
    <col min="1" max="1" width="5" style="85" bestFit="1" customWidth="1"/>
    <col min="2" max="2" width="5.77734375" style="84" bestFit="1" customWidth="1"/>
    <col min="3" max="3" width="38.44140625" style="85" customWidth="1"/>
    <col min="4" max="4" width="7.6640625" style="84" bestFit="1" customWidth="1"/>
    <col min="5" max="5" width="6.44140625" style="84" customWidth="1"/>
    <col min="6" max="6" width="9.77734375" style="85" customWidth="1"/>
    <col min="7" max="7" width="7.21875" style="85" bestFit="1" customWidth="1"/>
    <col min="8" max="8" width="6.6640625" style="85" bestFit="1" customWidth="1"/>
    <col min="9" max="9" width="8.6640625" style="85" bestFit="1" customWidth="1"/>
    <col min="10" max="11" width="6.33203125" style="85" bestFit="1" customWidth="1"/>
    <col min="12" max="12" width="8.6640625" style="85" bestFit="1" customWidth="1"/>
    <col min="13" max="13" width="7.21875" style="85" customWidth="1"/>
    <col min="14" max="14" width="8.6640625" style="85" bestFit="1" customWidth="1"/>
    <col min="15" max="15" width="7.6640625" style="85" hidden="1" customWidth="1"/>
    <col min="16" max="16" width="7.21875" style="85" hidden="1" customWidth="1"/>
    <col min="17" max="17" width="8.6640625" style="85" bestFit="1" customWidth="1"/>
    <col min="18" max="18" width="7.21875" style="85" bestFit="1" customWidth="1"/>
    <col min="19" max="19" width="6.6640625" style="85" bestFit="1" customWidth="1"/>
    <col min="20" max="20" width="8.6640625" style="85" bestFit="1" customWidth="1"/>
    <col min="21" max="22" width="6.33203125" style="85" bestFit="1" customWidth="1"/>
    <col min="23" max="23" width="8.6640625" style="85" bestFit="1" customWidth="1"/>
    <col min="24" max="24" width="7.21875" style="85" bestFit="1" customWidth="1"/>
    <col min="25" max="25" width="8.6640625" style="85" bestFit="1" customWidth="1"/>
    <col min="26" max="26" width="6.33203125" style="85" hidden="1" customWidth="1"/>
    <col min="27" max="27" width="7.21875" style="85" hidden="1" customWidth="1"/>
    <col min="28" max="28" width="8.6640625" style="85" bestFit="1" customWidth="1"/>
    <col min="29" max="29" width="7.21875" style="85" bestFit="1" customWidth="1"/>
    <col min="30" max="30" width="6.6640625" style="85" bestFit="1" customWidth="1"/>
    <col min="31" max="31" width="8.6640625" style="85" bestFit="1" customWidth="1"/>
    <col min="32" max="33" width="7.21875" style="85" bestFit="1" customWidth="1"/>
    <col min="34" max="34" width="8.6640625" style="85" bestFit="1" customWidth="1"/>
    <col min="35" max="35" width="7.21875" style="85" bestFit="1" customWidth="1"/>
    <col min="36" max="36" width="8.6640625" style="85" bestFit="1" customWidth="1"/>
    <col min="37" max="37" width="6.77734375" style="85" hidden="1" customWidth="1"/>
    <col min="38" max="38" width="7.21875" style="85" hidden="1" customWidth="1"/>
    <col min="39" max="16384" width="9" style="85"/>
  </cols>
  <sheetData>
    <row r="1" spans="1:38" ht="24.75" customHeight="1">
      <c r="B1" s="1544" t="s">
        <v>561</v>
      </c>
      <c r="C1" s="1544"/>
      <c r="D1" s="1544"/>
      <c r="E1" s="1544"/>
      <c r="F1" s="1544"/>
      <c r="G1" s="1544"/>
      <c r="H1" s="1544"/>
      <c r="I1" s="1544"/>
      <c r="J1" s="1544"/>
      <c r="K1" s="1544"/>
      <c r="L1" s="1544"/>
      <c r="M1" s="1544"/>
      <c r="N1" s="1544"/>
      <c r="O1" s="1544"/>
      <c r="P1" s="517"/>
      <c r="Q1" s="517"/>
    </row>
    <row r="2" spans="1:38" s="86" customFormat="1">
      <c r="B2" s="1617"/>
      <c r="C2" s="1617"/>
      <c r="D2" s="1617"/>
      <c r="E2" s="1617"/>
      <c r="F2" s="1617"/>
      <c r="G2" s="1617"/>
      <c r="H2" s="1617"/>
      <c r="I2" s="1617"/>
      <c r="J2" s="1617"/>
      <c r="K2" s="1617"/>
      <c r="L2" s="1617"/>
      <c r="M2" s="1617"/>
      <c r="N2" s="1617"/>
      <c r="O2" s="1617"/>
    </row>
    <row r="3" spans="1:38" ht="14.25" thickBot="1">
      <c r="B3" s="87"/>
      <c r="C3" s="88"/>
      <c r="K3" s="1618"/>
      <c r="L3" s="1618"/>
      <c r="M3" s="1618"/>
      <c r="N3" s="89"/>
    </row>
    <row r="4" spans="1:38" s="83" customFormat="1" ht="12.75" customHeight="1">
      <c r="A4" s="1431" t="s">
        <v>29</v>
      </c>
      <c r="B4" s="1619" t="s">
        <v>29</v>
      </c>
      <c r="C4" s="1619" t="s">
        <v>16</v>
      </c>
      <c r="D4" s="1619" t="s">
        <v>39</v>
      </c>
      <c r="E4" s="1619" t="s">
        <v>519</v>
      </c>
      <c r="F4" s="1619" t="s">
        <v>7</v>
      </c>
      <c r="G4" s="1619" t="s">
        <v>8</v>
      </c>
      <c r="H4" s="1619" t="s">
        <v>10</v>
      </c>
      <c r="I4" s="1619" t="s">
        <v>11</v>
      </c>
      <c r="J4" s="1619" t="s">
        <v>498</v>
      </c>
      <c r="K4" s="1619" t="s">
        <v>497</v>
      </c>
      <c r="L4" s="1619" t="s">
        <v>12</v>
      </c>
      <c r="M4" s="1619" t="s">
        <v>13</v>
      </c>
      <c r="N4" s="1619" t="s">
        <v>14</v>
      </c>
      <c r="O4" s="1593" t="s">
        <v>27</v>
      </c>
      <c r="P4" s="1629" t="s">
        <v>352</v>
      </c>
      <c r="Q4" s="1593" t="s">
        <v>7</v>
      </c>
      <c r="R4" s="1593" t="s">
        <v>8</v>
      </c>
      <c r="S4" s="1593" t="s">
        <v>10</v>
      </c>
      <c r="T4" s="1593" t="s">
        <v>11</v>
      </c>
      <c r="U4" s="1593" t="s">
        <v>498</v>
      </c>
      <c r="V4" s="1593" t="s">
        <v>497</v>
      </c>
      <c r="W4" s="1593" t="s">
        <v>12</v>
      </c>
      <c r="X4" s="1593" t="s">
        <v>13</v>
      </c>
      <c r="Y4" s="1593" t="s">
        <v>14</v>
      </c>
      <c r="Z4" s="1593" t="s">
        <v>27</v>
      </c>
      <c r="AA4" s="1629" t="s">
        <v>352</v>
      </c>
      <c r="AB4" s="1593" t="s">
        <v>7</v>
      </c>
      <c r="AC4" s="1593" t="s">
        <v>8</v>
      </c>
      <c r="AD4" s="1593" t="s">
        <v>10</v>
      </c>
      <c r="AE4" s="1593" t="s">
        <v>11</v>
      </c>
      <c r="AF4" s="1593" t="s">
        <v>498</v>
      </c>
      <c r="AG4" s="1593" t="s">
        <v>497</v>
      </c>
      <c r="AH4" s="1593" t="s">
        <v>12</v>
      </c>
      <c r="AI4" s="1593" t="s">
        <v>13</v>
      </c>
      <c r="AJ4" s="1593" t="s">
        <v>14</v>
      </c>
      <c r="AK4" s="1593" t="s">
        <v>27</v>
      </c>
      <c r="AL4" s="1629" t="s">
        <v>352</v>
      </c>
    </row>
    <row r="5" spans="1:38" s="83" customFormat="1">
      <c r="A5" s="1431"/>
      <c r="B5" s="1619"/>
      <c r="C5" s="1619"/>
      <c r="D5" s="1619"/>
      <c r="E5" s="1619"/>
      <c r="F5" s="1619"/>
      <c r="G5" s="1619"/>
      <c r="H5" s="1619" t="s">
        <v>9</v>
      </c>
      <c r="I5" s="1619"/>
      <c r="J5" s="1619"/>
      <c r="K5" s="1619"/>
      <c r="L5" s="1619"/>
      <c r="M5" s="1619" t="s">
        <v>6</v>
      </c>
      <c r="N5" s="1619"/>
      <c r="O5" s="1594"/>
      <c r="P5" s="1630"/>
      <c r="Q5" s="1594"/>
      <c r="R5" s="1594"/>
      <c r="S5" s="1594" t="s">
        <v>9</v>
      </c>
      <c r="T5" s="1594"/>
      <c r="U5" s="1594"/>
      <c r="V5" s="1594"/>
      <c r="W5" s="1594"/>
      <c r="X5" s="1594" t="s">
        <v>6</v>
      </c>
      <c r="Y5" s="1594"/>
      <c r="Z5" s="1594"/>
      <c r="AA5" s="1630"/>
      <c r="AB5" s="1594"/>
      <c r="AC5" s="1594"/>
      <c r="AD5" s="1594" t="s">
        <v>9</v>
      </c>
      <c r="AE5" s="1594"/>
      <c r="AF5" s="1594"/>
      <c r="AG5" s="1594"/>
      <c r="AH5" s="1594"/>
      <c r="AI5" s="1594" t="s">
        <v>6</v>
      </c>
      <c r="AJ5" s="1594"/>
      <c r="AK5" s="1594"/>
      <c r="AL5" s="1630"/>
    </row>
    <row r="6" spans="1:38" s="83" customFormat="1">
      <c r="A6" s="1431"/>
      <c r="B6" s="1619"/>
      <c r="C6" s="1619"/>
      <c r="D6" s="1619"/>
      <c r="E6" s="1619"/>
      <c r="F6" s="1619"/>
      <c r="G6" s="1619"/>
      <c r="H6" s="1619"/>
      <c r="I6" s="1619"/>
      <c r="J6" s="1619"/>
      <c r="K6" s="1619"/>
      <c r="L6" s="1619"/>
      <c r="M6" s="1360">
        <v>0.15</v>
      </c>
      <c r="N6" s="1619"/>
      <c r="O6" s="265">
        <v>0.2</v>
      </c>
      <c r="P6" s="1631"/>
      <c r="Q6" s="1595"/>
      <c r="R6" s="1595"/>
      <c r="S6" s="1595"/>
      <c r="T6" s="1595"/>
      <c r="U6" s="1595"/>
      <c r="V6" s="1595"/>
      <c r="W6" s="1595"/>
      <c r="X6" s="266">
        <v>0.15</v>
      </c>
      <c r="Y6" s="1595"/>
      <c r="Z6" s="265">
        <v>0.1</v>
      </c>
      <c r="AA6" s="1631"/>
      <c r="AB6" s="1595"/>
      <c r="AC6" s="1595"/>
      <c r="AD6" s="1595"/>
      <c r="AE6" s="1595"/>
      <c r="AF6" s="1595"/>
      <c r="AG6" s="1595"/>
      <c r="AH6" s="1595"/>
      <c r="AI6" s="266">
        <v>0.15</v>
      </c>
      <c r="AJ6" s="1595"/>
      <c r="AK6" s="265">
        <v>0.1</v>
      </c>
      <c r="AL6" s="1631"/>
    </row>
    <row r="7" spans="1:38" s="86" customFormat="1">
      <c r="A7" s="1431" t="s">
        <v>26</v>
      </c>
      <c r="B7" s="1620" t="str">
        <f>NCong!A5</f>
        <v>I</v>
      </c>
      <c r="C7" s="1391" t="s">
        <v>983</v>
      </c>
      <c r="D7" s="1621" t="s">
        <v>53</v>
      </c>
      <c r="E7" s="951">
        <v>1</v>
      </c>
      <c r="F7" s="309">
        <f>NCong!I6</f>
        <v>719969.23439999996</v>
      </c>
      <c r="G7" s="309">
        <f t="shared" ref="G7:K9" si="0">G10+G$23</f>
        <v>45890.096153846156</v>
      </c>
      <c r="H7" s="309">
        <f t="shared" si="0"/>
        <v>9620.4272033628222</v>
      </c>
      <c r="I7" s="309">
        <f t="shared" si="0"/>
        <v>43821.94</v>
      </c>
      <c r="J7" s="309">
        <f>J10+J$23</f>
        <v>9066.1517999999996</v>
      </c>
      <c r="K7" s="309">
        <f t="shared" si="0"/>
        <v>10350.291588</v>
      </c>
      <c r="L7" s="309">
        <f>SUM(F7:K7)</f>
        <v>838718.14114520897</v>
      </c>
      <c r="M7" s="309">
        <f>$M$6*L7</f>
        <v>125807.72117178133</v>
      </c>
      <c r="N7" s="309">
        <f>L7+M7</f>
        <v>964525.86231699027</v>
      </c>
      <c r="O7" s="131">
        <f t="shared" ref="O7:P9" si="1">O10+O$23</f>
        <v>860162.34037499991</v>
      </c>
      <c r="P7" s="139">
        <f t="shared" si="1"/>
        <v>180645.16826923078</v>
      </c>
    </row>
    <row r="8" spans="1:38" s="86" customFormat="1">
      <c r="A8" s="1431"/>
      <c r="B8" s="1621"/>
      <c r="C8" s="1391"/>
      <c r="D8" s="1621"/>
      <c r="E8" s="951">
        <v>2</v>
      </c>
      <c r="F8" s="309">
        <f>NCong!I8</f>
        <v>771287.18939999992</v>
      </c>
      <c r="G8" s="309">
        <f t="shared" si="0"/>
        <v>54986.25</v>
      </c>
      <c r="H8" s="309">
        <f t="shared" si="0"/>
        <v>10599.706408025642</v>
      </c>
      <c r="I8" s="309">
        <f t="shared" si="0"/>
        <v>43821.94</v>
      </c>
      <c r="J8" s="309">
        <f t="shared" si="0"/>
        <v>9066.1517999999996</v>
      </c>
      <c r="K8" s="309">
        <f t="shared" si="0"/>
        <v>10350.291588</v>
      </c>
      <c r="L8" s="309">
        <f>SUM(F8:K8)</f>
        <v>900111.52919602569</v>
      </c>
      <c r="M8" s="309">
        <f t="shared" ref="M8:M23" si="2">$M$6*L8</f>
        <v>135016.72937940384</v>
      </c>
      <c r="N8" s="309">
        <f>L8+M8</f>
        <v>1035128.2585754296</v>
      </c>
      <c r="O8" s="131">
        <f t="shared" si="1"/>
        <v>860162.34037499991</v>
      </c>
      <c r="P8" s="139">
        <f t="shared" si="1"/>
        <v>242189.78365384616</v>
      </c>
    </row>
    <row r="9" spans="1:38" s="86" customFormat="1">
      <c r="A9" s="1431"/>
      <c r="B9" s="1621"/>
      <c r="C9" s="1391"/>
      <c r="D9" s="1621"/>
      <c r="E9" s="951">
        <v>3</v>
      </c>
      <c r="F9" s="309">
        <f>NCong!I10</f>
        <v>832868.73540000001</v>
      </c>
      <c r="G9" s="309">
        <f t="shared" si="0"/>
        <v>65901.634615384624</v>
      </c>
      <c r="H9" s="309">
        <f t="shared" si="0"/>
        <v>11578.985612688464</v>
      </c>
      <c r="I9" s="309">
        <f t="shared" si="0"/>
        <v>43821.94</v>
      </c>
      <c r="J9" s="309">
        <f t="shared" si="0"/>
        <v>9066.1517999999996</v>
      </c>
      <c r="K9" s="309">
        <f t="shared" si="0"/>
        <v>10350.291588</v>
      </c>
      <c r="L9" s="309">
        <f>SUM(F9:K9)</f>
        <v>973587.73901607317</v>
      </c>
      <c r="M9" s="309">
        <f t="shared" si="2"/>
        <v>146038.16085241098</v>
      </c>
      <c r="N9" s="309">
        <f>L9+M9</f>
        <v>1119625.8998684841</v>
      </c>
      <c r="O9" s="131">
        <f t="shared" si="1"/>
        <v>893293.93237499997</v>
      </c>
      <c r="P9" s="139">
        <f t="shared" si="1"/>
        <v>244435.93750000003</v>
      </c>
    </row>
    <row r="10" spans="1:38" s="88" customFormat="1" ht="13.5">
      <c r="A10" s="1612" t="s">
        <v>124</v>
      </c>
      <c r="B10" s="1612" t="str">
        <f>NCong!A6</f>
        <v>I.1</v>
      </c>
      <c r="C10" s="1611" t="str">
        <f>NCong!B6</f>
        <v>CÁC NỘI DUNG THỰC HIỆN TẠI ĐỊA BÀN XÃ, PHƯỜNG</v>
      </c>
      <c r="D10" s="1612" t="s">
        <v>53</v>
      </c>
      <c r="E10" s="1361">
        <v>1</v>
      </c>
      <c r="F10" s="1362">
        <f>NCong!I6</f>
        <v>719969.23439999996</v>
      </c>
      <c r="G10" s="1362">
        <f>NCong!I7</f>
        <v>45890.096153846156</v>
      </c>
      <c r="H10" s="1362">
        <f>Dcu!J20</f>
        <v>8813.5128419653865</v>
      </c>
      <c r="I10" s="1362">
        <f>VLieu!H$24</f>
        <v>33001</v>
      </c>
      <c r="J10" s="1362">
        <f>Tbi!I5</f>
        <v>6693.6062000000002</v>
      </c>
      <c r="K10" s="1362">
        <f>Tbi!I12</f>
        <v>10083.599662500001</v>
      </c>
      <c r="L10" s="1362">
        <f t="shared" ref="L10:L23" si="3">SUM(F10:K10)</f>
        <v>824451.04925831151</v>
      </c>
      <c r="M10" s="1362">
        <f t="shared" si="2"/>
        <v>123667.65738874672</v>
      </c>
      <c r="N10" s="1362">
        <f t="shared" ref="N10:N23" si="4">L10+M10</f>
        <v>948118.70664705825</v>
      </c>
      <c r="O10" s="290">
        <f>NCong!J6</f>
        <v>855969.76237499993</v>
      </c>
      <c r="P10" s="291">
        <f>NCong!K6</f>
        <v>176040.5528846154</v>
      </c>
    </row>
    <row r="11" spans="1:38" s="88" customFormat="1" ht="13.5">
      <c r="A11" s="1612"/>
      <c r="B11" s="1612"/>
      <c r="C11" s="1611"/>
      <c r="D11" s="1612"/>
      <c r="E11" s="1361">
        <v>2</v>
      </c>
      <c r="F11" s="1362">
        <f>NCong!I8</f>
        <v>771287.18939999992</v>
      </c>
      <c r="G11" s="1362">
        <f>NCong!I9</f>
        <v>54986.25</v>
      </c>
      <c r="H11" s="1362">
        <f>Dcu!J21</f>
        <v>9792.7920466282067</v>
      </c>
      <c r="I11" s="1362">
        <f>VLieu!H$24</f>
        <v>33001</v>
      </c>
      <c r="J11" s="1362">
        <f>Tbi!I5</f>
        <v>6693.6062000000002</v>
      </c>
      <c r="K11" s="1362">
        <f>Tbi!I12</f>
        <v>10083.599662500001</v>
      </c>
      <c r="L11" s="1362">
        <f t="shared" si="3"/>
        <v>885844.43730912812</v>
      </c>
      <c r="M11" s="1362">
        <f t="shared" si="2"/>
        <v>132876.66559636922</v>
      </c>
      <c r="N11" s="1362">
        <f t="shared" si="4"/>
        <v>1018721.1029054973</v>
      </c>
      <c r="O11" s="290">
        <f>NCong!J8</f>
        <v>855969.76237499993</v>
      </c>
      <c r="P11" s="291">
        <f>NCong!K8</f>
        <v>237585.16826923078</v>
      </c>
    </row>
    <row r="12" spans="1:38" s="88" customFormat="1" ht="13.5">
      <c r="A12" s="1612"/>
      <c r="B12" s="1612"/>
      <c r="C12" s="1611"/>
      <c r="D12" s="1612"/>
      <c r="E12" s="1361">
        <v>3</v>
      </c>
      <c r="F12" s="1362">
        <f>NCong!I10</f>
        <v>832868.73540000001</v>
      </c>
      <c r="G12" s="1362">
        <f>NCong!I11</f>
        <v>65901.634615384624</v>
      </c>
      <c r="H12" s="1362">
        <f>Dcu!J22</f>
        <v>10772.071251291029</v>
      </c>
      <c r="I12" s="1362">
        <f>VLieu!H$24</f>
        <v>33001</v>
      </c>
      <c r="J12" s="1362">
        <f>Tbi!I5</f>
        <v>6693.6062000000002</v>
      </c>
      <c r="K12" s="1362">
        <f>Tbi!I12</f>
        <v>10083.599662500001</v>
      </c>
      <c r="L12" s="1362">
        <f t="shared" si="3"/>
        <v>959320.64712917572</v>
      </c>
      <c r="M12" s="1362">
        <f t="shared" si="2"/>
        <v>143898.09706937635</v>
      </c>
      <c r="N12" s="1362">
        <f t="shared" si="4"/>
        <v>1103218.7441985521</v>
      </c>
      <c r="O12" s="290">
        <f>NCong!J10</f>
        <v>889101.354375</v>
      </c>
      <c r="P12" s="291">
        <f>NCong!K10</f>
        <v>239831.32211538465</v>
      </c>
    </row>
    <row r="13" spans="1:38" ht="24" customHeight="1">
      <c r="A13" s="523">
        <v>1</v>
      </c>
      <c r="B13" s="1046" t="str">
        <f>NCong!A48</f>
        <v>12</v>
      </c>
      <c r="C13" s="522" t="str">
        <f>NCong!B48</f>
        <v>Kiểm tra việc đủ điều kiện hay không đủ điều kiện được cấp Giấy chứng nhận</v>
      </c>
      <c r="D13" s="523"/>
      <c r="E13" s="1363" t="s">
        <v>32</v>
      </c>
      <c r="F13" s="294">
        <f>NCong!K48</f>
        <v>5615.3846153846162</v>
      </c>
      <c r="G13" s="294"/>
      <c r="H13" s="294"/>
      <c r="I13" s="294"/>
      <c r="J13" s="294"/>
      <c r="K13" s="294"/>
      <c r="L13" s="294">
        <f t="shared" si="3"/>
        <v>5615.3846153846162</v>
      </c>
      <c r="M13" s="294">
        <f t="shared" si="2"/>
        <v>842.30769230769238</v>
      </c>
      <c r="N13" s="294">
        <f t="shared" si="4"/>
        <v>6457.6923076923085</v>
      </c>
      <c r="O13" s="95">
        <f>NCong!J55</f>
        <v>511.29</v>
      </c>
      <c r="P13" s="96">
        <f>NCong!K55</f>
        <v>561.53846153846155</v>
      </c>
    </row>
    <row r="14" spans="1:38" s="111" customFormat="1" ht="25.5" customHeight="1">
      <c r="A14" s="526">
        <v>2</v>
      </c>
      <c r="B14" s="1046" t="str">
        <f>NCong!A49</f>
        <v>13</v>
      </c>
      <c r="C14" s="522" t="str">
        <f>NCong!B49</f>
        <v>Lập Tờ trình trình Chủ tịch UBND phường</v>
      </c>
      <c r="D14" s="526">
        <f>NCong!C49</f>
        <v>0</v>
      </c>
      <c r="E14" s="1363" t="s">
        <v>32</v>
      </c>
      <c r="F14" s="294">
        <f>NCong!I49</f>
        <v>0</v>
      </c>
      <c r="G14" s="1136"/>
      <c r="H14" s="1136"/>
      <c r="I14" s="1136"/>
      <c r="J14" s="1136"/>
      <c r="K14" s="1136"/>
      <c r="L14" s="1136">
        <f>SUM(F14:K14)</f>
        <v>0</v>
      </c>
      <c r="M14" s="1136">
        <f>$M$6*L14</f>
        <v>0</v>
      </c>
      <c r="N14" s="1136">
        <f>L14+M14</f>
        <v>0</v>
      </c>
      <c r="O14" s="93">
        <f>NCong!J56</f>
        <v>0</v>
      </c>
      <c r="P14" s="94">
        <f>NCong!K56</f>
        <v>0</v>
      </c>
    </row>
    <row r="15" spans="1:38" s="111" customFormat="1" ht="24.75" customHeight="1">
      <c r="A15" s="523">
        <v>3</v>
      </c>
      <c r="B15" s="1046" t="str">
        <f>NCong!A50</f>
        <v>13.1</v>
      </c>
      <c r="C15" s="522" t="str">
        <f>NCong!B50</f>
        <v>Theo hình thức trực tiếp</v>
      </c>
      <c r="D15" s="526" t="str">
        <f>NCong!C50</f>
        <v>Hồ sơ</v>
      </c>
      <c r="E15" s="1363" t="s">
        <v>32</v>
      </c>
      <c r="F15" s="294">
        <f>NCong!I50</f>
        <v>16672.5</v>
      </c>
      <c r="G15" s="1136"/>
      <c r="H15" s="1136"/>
      <c r="I15" s="1136"/>
      <c r="J15" s="1136"/>
      <c r="K15" s="1136"/>
      <c r="L15" s="1136">
        <f t="shared" si="3"/>
        <v>16672.5</v>
      </c>
      <c r="M15" s="1136">
        <f t="shared" si="2"/>
        <v>2500.875</v>
      </c>
      <c r="N15" s="1136">
        <f t="shared" si="4"/>
        <v>19173.375</v>
      </c>
      <c r="O15" s="93">
        <f>NCong!J57</f>
        <v>1278.2250000000001</v>
      </c>
      <c r="P15" s="94">
        <f>NCong!K57</f>
        <v>1403.846153846154</v>
      </c>
    </row>
    <row r="16" spans="1:38" ht="20.25" customHeight="1">
      <c r="A16" s="526">
        <v>4</v>
      </c>
      <c r="B16" s="1046" t="str">
        <f>NCong!A63</f>
        <v>21</v>
      </c>
      <c r="C16" s="522" t="str">
        <f>NCong!B63</f>
        <v>Chuẩn bị hợp đồng cho thuê đất (nếu có)</v>
      </c>
      <c r="D16" s="523" t="str">
        <f>NCong!C63</f>
        <v>Hồ sơ</v>
      </c>
      <c r="E16" s="526" t="s">
        <v>32</v>
      </c>
      <c r="F16" s="294">
        <f>NCong!I63</f>
        <v>66690</v>
      </c>
      <c r="G16" s="294"/>
      <c r="H16" s="294">
        <f>Dcu!K26</f>
        <v>0</v>
      </c>
      <c r="I16" s="294">
        <f>VLieu!I27</f>
        <v>3680</v>
      </c>
      <c r="J16" s="294"/>
      <c r="K16" s="294"/>
      <c r="L16" s="294">
        <f t="shared" si="3"/>
        <v>70370</v>
      </c>
      <c r="M16" s="294">
        <f t="shared" si="2"/>
        <v>10555.5</v>
      </c>
      <c r="N16" s="294">
        <f t="shared" si="4"/>
        <v>80925.5</v>
      </c>
      <c r="O16" s="95">
        <f>NCong!J66</f>
        <v>2556.4500000000003</v>
      </c>
      <c r="P16" s="96">
        <f>NCong!K66</f>
        <v>2807.6923076923081</v>
      </c>
    </row>
    <row r="17" spans="1:38" s="471" customFormat="1" ht="17.25" customHeight="1">
      <c r="A17" s="523">
        <v>5</v>
      </c>
      <c r="B17" s="910" t="str">
        <f>NCong!A72</f>
        <v>25.1.2</v>
      </c>
      <c r="C17" s="1364" t="str">
        <f>NCong!B72</f>
        <v>Quét trang A4</v>
      </c>
      <c r="D17" s="910" t="str">
        <f>NCong!C72</f>
        <v>Trang</v>
      </c>
      <c r="E17" s="1365"/>
      <c r="F17" s="903">
        <f>NCong!I72</f>
        <v>2080.7280000000001</v>
      </c>
      <c r="G17" s="903"/>
      <c r="H17" s="903"/>
      <c r="I17" s="903"/>
      <c r="J17" s="903"/>
      <c r="K17" s="903"/>
      <c r="L17" s="903">
        <f t="shared" si="3"/>
        <v>2080.7280000000001</v>
      </c>
      <c r="M17" s="903">
        <f t="shared" si="2"/>
        <v>312.10919999999999</v>
      </c>
      <c r="N17" s="903">
        <f t="shared" si="4"/>
        <v>2392.8371999999999</v>
      </c>
      <c r="O17" s="469">
        <f>NCong!J75</f>
        <v>1278.2250000000001</v>
      </c>
      <c r="P17" s="470">
        <f>NCong!K75</f>
        <v>1403.846153846154</v>
      </c>
    </row>
    <row r="18" spans="1:38" s="471" customFormat="1" ht="25.5">
      <c r="A18" s="526">
        <v>6</v>
      </c>
      <c r="B18" s="910" t="str">
        <f>NCong!A73</f>
        <v>26</v>
      </c>
      <c r="C18" s="1364" t="str">
        <f>NCong!B73</f>
        <v>Xử lý các tệp tin quét thành tệp (File) hồ sơ quét dạng số của thửa đất, lưu trữ dưới khuôn dạng tệp tin PDF</v>
      </c>
      <c r="D18" s="910" t="str">
        <f>NCong!C73</f>
        <v>Trang</v>
      </c>
      <c r="E18" s="1365"/>
      <c r="F18" s="903">
        <f>NCong!I73</f>
        <v>1040.364</v>
      </c>
      <c r="G18" s="903"/>
      <c r="H18" s="903"/>
      <c r="I18" s="903"/>
      <c r="J18" s="903"/>
      <c r="K18" s="903"/>
      <c r="L18" s="903">
        <f t="shared" si="3"/>
        <v>1040.364</v>
      </c>
      <c r="M18" s="903">
        <f t="shared" si="2"/>
        <v>156.05459999999999</v>
      </c>
      <c r="N18" s="903">
        <f t="shared" si="4"/>
        <v>1196.4186</v>
      </c>
      <c r="O18" s="469">
        <f>NCong!J76</f>
        <v>1278.2250000000001</v>
      </c>
      <c r="P18" s="470">
        <f>NCong!K76</f>
        <v>1403.846153846154</v>
      </c>
    </row>
    <row r="19" spans="1:38" s="471" customFormat="1" ht="25.5">
      <c r="A19" s="523">
        <v>7</v>
      </c>
      <c r="B19" s="910" t="str">
        <f>NCong!A74</f>
        <v>27</v>
      </c>
      <c r="C19" s="1364" t="str">
        <f>NCong!B74</f>
        <v>Tạo liên kết hồ sơ quét dạng số với thửa đất trong cơ sở dữ liệu</v>
      </c>
      <c r="D19" s="910" t="str">
        <f>NCong!C74</f>
        <v>Thửa</v>
      </c>
      <c r="E19" s="1365"/>
      <c r="F19" s="903">
        <f>NCong!I74</f>
        <v>2600.91</v>
      </c>
      <c r="G19" s="903"/>
      <c r="H19" s="903"/>
      <c r="I19" s="903"/>
      <c r="J19" s="903"/>
      <c r="K19" s="903"/>
      <c r="L19" s="903">
        <f t="shared" si="3"/>
        <v>2600.91</v>
      </c>
      <c r="M19" s="903">
        <f t="shared" si="2"/>
        <v>390.13649999999996</v>
      </c>
      <c r="N19" s="903">
        <f t="shared" si="4"/>
        <v>2991.0464999999999</v>
      </c>
      <c r="O19" s="469">
        <f>NCong!J77</f>
        <v>818064</v>
      </c>
      <c r="P19" s="470">
        <f>NCong!K77</f>
        <v>898461.5384615385</v>
      </c>
    </row>
    <row r="20" spans="1:38" s="471" customFormat="1" ht="38.25">
      <c r="A20" s="526">
        <v>8</v>
      </c>
      <c r="B20" s="910" t="str">
        <f>NCong!A75</f>
        <v>28</v>
      </c>
      <c r="C20" s="1364" t="str">
        <f>NCong!B75</f>
        <v>Chuyển Giấy chứng nhận đến Bộ phận một cửa để trao cho người sử dụng đất hoặc chuyển Giấy chứng nhận cho người sử dụng đất thông qua dịch vụ bưu chính công ích</v>
      </c>
      <c r="D20" s="910" t="str">
        <f>NCong!C75</f>
        <v>Hồ sơ</v>
      </c>
      <c r="E20" s="1365"/>
      <c r="F20" s="903">
        <f>NCong!I75</f>
        <v>14838.525000000001</v>
      </c>
      <c r="G20" s="903"/>
      <c r="H20" s="903"/>
      <c r="I20" s="903"/>
      <c r="J20" s="903"/>
      <c r="K20" s="903"/>
      <c r="L20" s="903">
        <f t="shared" si="3"/>
        <v>14838.525000000001</v>
      </c>
      <c r="M20" s="903">
        <f t="shared" si="2"/>
        <v>2225.7787499999999</v>
      </c>
      <c r="N20" s="903">
        <f t="shared" si="4"/>
        <v>17064.303750000003</v>
      </c>
      <c r="O20" s="469"/>
      <c r="P20" s="470"/>
    </row>
    <row r="21" spans="1:38" s="471" customFormat="1" ht="38.25">
      <c r="A21" s="523">
        <v>9</v>
      </c>
      <c r="B21" s="910" t="str">
        <f>NCong!A76</f>
        <v>29</v>
      </c>
      <c r="C21" s="1364" t="str">
        <f>NCong!B76</f>
        <v>Chuyển hồ sơ kèm theo bản sao Giấy chứng nhận đã cấp đến Văn phòng đăng ký đất đai để cập nhật, chỉnh lý hồ sơ địa chính, cơ sở dữ liệu đất đai.</v>
      </c>
      <c r="D21" s="910" t="str">
        <f>NCong!C76</f>
        <v>Hồ sơ</v>
      </c>
      <c r="E21" s="1365"/>
      <c r="F21" s="903">
        <f>NCong!I76</f>
        <v>14838.525000000001</v>
      </c>
      <c r="G21" s="903"/>
      <c r="H21" s="903"/>
      <c r="I21" s="903"/>
      <c r="J21" s="903"/>
      <c r="K21" s="903"/>
      <c r="L21" s="903">
        <f t="shared" si="3"/>
        <v>14838.525000000001</v>
      </c>
      <c r="M21" s="903">
        <f t="shared" si="2"/>
        <v>2225.7787499999999</v>
      </c>
      <c r="N21" s="903">
        <f t="shared" si="4"/>
        <v>17064.303750000003</v>
      </c>
      <c r="O21" s="469">
        <f>NCong!J78</f>
        <v>4192.5780000000004</v>
      </c>
      <c r="P21" s="470">
        <f>NCong!K78</f>
        <v>4604.6153846153848</v>
      </c>
    </row>
    <row r="22" spans="1:38" s="471" customFormat="1" ht="38.25">
      <c r="A22" s="526">
        <v>10</v>
      </c>
      <c r="B22" s="910" t="str">
        <f>NCong!A77</f>
        <v>30</v>
      </c>
      <c r="C22" s="1364" t="str">
        <f>NCong!B77</f>
        <v>Nhận hồ sơ địa chính từ cấp tỉnh gửi về (01 bộ)</v>
      </c>
      <c r="D22" s="910" t="str">
        <f>NCong!C77</f>
        <v>Bộ/xã, phường</v>
      </c>
      <c r="E22" s="1365"/>
      <c r="F22" s="903">
        <f>NCong!I77</f>
        <v>474.83280000000002</v>
      </c>
      <c r="G22" s="903"/>
      <c r="H22" s="903"/>
      <c r="I22" s="903"/>
      <c r="J22" s="903"/>
      <c r="K22" s="903"/>
      <c r="L22" s="903">
        <f t="shared" si="3"/>
        <v>474.83280000000002</v>
      </c>
      <c r="M22" s="903">
        <f t="shared" si="2"/>
        <v>71.224919999999997</v>
      </c>
      <c r="N22" s="903">
        <f t="shared" si="4"/>
        <v>546.05772000000002</v>
      </c>
      <c r="O22" s="469">
        <f>NCong!J79</f>
        <v>4090.32</v>
      </c>
      <c r="P22" s="470">
        <f>NCong!K79</f>
        <v>4492.3076923076924</v>
      </c>
    </row>
    <row r="23" spans="1:38" s="86" customFormat="1" ht="26.25" customHeight="1">
      <c r="A23" s="520" t="s">
        <v>125</v>
      </c>
      <c r="B23" s="1035" t="str">
        <f>NCong!A78</f>
        <v>I.2</v>
      </c>
      <c r="C23" s="1366" t="str">
        <f>NCong!B78</f>
        <v>CÁC NỘI DUNG THỰC HIỆN TẠI ĐỊA BÀN CẤP TỈNH</v>
      </c>
      <c r="D23" s="520"/>
      <c r="E23" s="1035"/>
      <c r="F23" s="1093">
        <f>NCong!I78</f>
        <v>27768.965737500002</v>
      </c>
      <c r="G23" s="1093"/>
      <c r="H23" s="1093">
        <f>Dcu!L20</f>
        <v>806.91436139743598</v>
      </c>
      <c r="I23" s="1093">
        <f>VLieu!J24</f>
        <v>10820.939999999999</v>
      </c>
      <c r="J23" s="1093">
        <f>Tbi!I13</f>
        <v>2372.5455999999995</v>
      </c>
      <c r="K23" s="1093">
        <f>Dcu!L16</f>
        <v>266.69192550000002</v>
      </c>
      <c r="L23" s="1093">
        <f t="shared" si="3"/>
        <v>42036.057624397443</v>
      </c>
      <c r="M23" s="1093">
        <f t="shared" si="2"/>
        <v>6305.4086436596162</v>
      </c>
      <c r="N23" s="1093">
        <f t="shared" si="4"/>
        <v>48341.466268057062</v>
      </c>
      <c r="O23" s="271">
        <f>NCong!J78</f>
        <v>4192.5780000000004</v>
      </c>
      <c r="P23" s="272">
        <f>NCong!K78</f>
        <v>4604.6153846153848</v>
      </c>
    </row>
    <row r="24" spans="1:38" s="83" customFormat="1" ht="51.75" customHeight="1">
      <c r="A24" s="520" t="s">
        <v>107</v>
      </c>
      <c r="B24" s="1001" t="str">
        <f>NCong!A97</f>
        <v>II</v>
      </c>
      <c r="C24" s="301" t="str">
        <f>NCong!B97</f>
        <v>Đăng ký, cấp Giấy chứng nhận lần đầu đơn lẻ đối với hộ gia đình, cá nhân, cộng đồng dân cư, tổ chức trong nước, người gốc Việt Nam định cư ở nước ngoài tại địa bàn cấp xã, phường</v>
      </c>
      <c r="D24" s="302"/>
      <c r="E24" s="302"/>
      <c r="F24" s="1598" t="s">
        <v>516</v>
      </c>
      <c r="G24" s="1599"/>
      <c r="H24" s="1599"/>
      <c r="I24" s="1599"/>
      <c r="J24" s="1599"/>
      <c r="K24" s="1599"/>
      <c r="L24" s="1599"/>
      <c r="M24" s="1599"/>
      <c r="N24" s="1600"/>
      <c r="O24" s="324"/>
      <c r="P24" s="303"/>
      <c r="Q24" s="1601" t="s">
        <v>517</v>
      </c>
      <c r="R24" s="1599"/>
      <c r="S24" s="1599"/>
      <c r="T24" s="1599"/>
      <c r="U24" s="1599"/>
      <c r="V24" s="1599"/>
      <c r="W24" s="1599"/>
      <c r="X24" s="1599"/>
      <c r="Y24" s="1600"/>
      <c r="Z24" s="324"/>
      <c r="AA24" s="303"/>
      <c r="AB24" s="1601" t="s">
        <v>518</v>
      </c>
      <c r="AC24" s="1599"/>
      <c r="AD24" s="1599"/>
      <c r="AE24" s="1599"/>
      <c r="AF24" s="1599"/>
      <c r="AG24" s="1599"/>
      <c r="AH24" s="1599"/>
      <c r="AI24" s="1599"/>
      <c r="AJ24" s="1600"/>
      <c r="AK24" s="324"/>
      <c r="AL24" s="303"/>
    </row>
    <row r="25" spans="1:38" s="86" customFormat="1">
      <c r="A25" s="1431" t="s">
        <v>20</v>
      </c>
      <c r="B25" s="1624" t="s">
        <v>20</v>
      </c>
      <c r="C25" s="1627" t="s">
        <v>773</v>
      </c>
      <c r="D25" s="1610" t="s">
        <v>53</v>
      </c>
      <c r="E25" s="276">
        <v>1</v>
      </c>
      <c r="F25" s="141">
        <f t="shared" ref="F25:K25" si="5">F28+F$35</f>
        <v>1406558.7900000003</v>
      </c>
      <c r="G25" s="141">
        <f t="shared" si="5"/>
        <v>127346.15384615384</v>
      </c>
      <c r="H25" s="141">
        <f t="shared" si="5"/>
        <v>14634.112551961542</v>
      </c>
      <c r="I25" s="141">
        <f t="shared" si="5"/>
        <v>23374.9</v>
      </c>
      <c r="J25" s="141">
        <f t="shared" si="5"/>
        <v>10374.665399999998</v>
      </c>
      <c r="K25" s="141">
        <f t="shared" si="5"/>
        <v>13089.945004500001</v>
      </c>
      <c r="L25" s="141">
        <f>SUM(F25:K25)</f>
        <v>1595378.5668026155</v>
      </c>
      <c r="M25" s="141">
        <f>L25*15%</f>
        <v>239306.78502039233</v>
      </c>
      <c r="N25" s="141">
        <f>L25+M25</f>
        <v>1834685.3518230079</v>
      </c>
      <c r="O25" s="141">
        <f t="shared" ref="O25:Q27" si="6">O28+O$35</f>
        <v>123911.13149999997</v>
      </c>
      <c r="P25" s="142">
        <f t="shared" si="6"/>
        <v>332655.38461538462</v>
      </c>
      <c r="Q25" s="279">
        <f t="shared" si="6"/>
        <v>1391720.2650000001</v>
      </c>
      <c r="R25" s="141">
        <f>R28</f>
        <v>127346.15384615384</v>
      </c>
      <c r="S25" s="141">
        <f t="shared" ref="S25:V27" si="7">S28+S$35</f>
        <v>14634.112551961542</v>
      </c>
      <c r="T25" s="141">
        <f t="shared" si="7"/>
        <v>23374.9</v>
      </c>
      <c r="U25" s="141">
        <f t="shared" si="7"/>
        <v>10374.665399999998</v>
      </c>
      <c r="V25" s="141">
        <f t="shared" si="7"/>
        <v>13089.945004500001</v>
      </c>
      <c r="W25" s="141">
        <f t="shared" ref="W25:W35" si="8">SUM(Q25:V25)</f>
        <v>1580540.0418026154</v>
      </c>
      <c r="X25" s="141">
        <f t="shared" ref="X25:X35" si="9">W25*15%</f>
        <v>237081.0062703923</v>
      </c>
      <c r="Y25" s="141">
        <f>W25+X25</f>
        <v>1817621.0480730077</v>
      </c>
      <c r="Z25" s="141">
        <f t="shared" ref="Z25:AB27" si="10">Z28+Z$35</f>
        <v>122632.90649999998</v>
      </c>
      <c r="AA25" s="142">
        <f t="shared" si="10"/>
        <v>332655.38461538462</v>
      </c>
      <c r="AB25" s="279">
        <f t="shared" si="10"/>
        <v>2038499.8920000002</v>
      </c>
      <c r="AC25" s="141">
        <f>AC28</f>
        <v>165550.00000000003</v>
      </c>
      <c r="AD25" s="141">
        <f t="shared" ref="AD25:AG27" si="11">AD28+AD$35</f>
        <v>19024.346317550004</v>
      </c>
      <c r="AE25" s="141">
        <f t="shared" si="11"/>
        <v>23374.9</v>
      </c>
      <c r="AF25" s="141">
        <f t="shared" si="11"/>
        <v>13487.065019999998</v>
      </c>
      <c r="AG25" s="141">
        <f t="shared" si="11"/>
        <v>17016.928505850003</v>
      </c>
      <c r="AH25" s="141">
        <f>SUM(AB25:AG25)</f>
        <v>2276953.1318434007</v>
      </c>
      <c r="AI25" s="141">
        <f>AH25*15%</f>
        <v>341542.96977651009</v>
      </c>
      <c r="AJ25" s="141">
        <f>AH25+AI25</f>
        <v>2618496.1016199109</v>
      </c>
      <c r="AK25" s="141">
        <f t="shared" ref="AK25:AL27" si="12">AK28+AK$35</f>
        <v>190199.88000000003</v>
      </c>
      <c r="AL25" s="142">
        <f t="shared" si="12"/>
        <v>460882.69230769225</v>
      </c>
    </row>
    <row r="26" spans="1:38" s="86" customFormat="1">
      <c r="A26" s="1431"/>
      <c r="B26" s="1624"/>
      <c r="C26" s="1627"/>
      <c r="D26" s="1610"/>
      <c r="E26" s="275" t="s">
        <v>34</v>
      </c>
      <c r="F26" s="141">
        <f>F29+F$35</f>
        <v>1457876.7450000001</v>
      </c>
      <c r="G26" s="131">
        <f>G29</f>
        <v>140080.76923076925</v>
      </c>
      <c r="H26" s="131">
        <f t="shared" ref="H26:K27" si="13">H29+H$35</f>
        <v>14634.112551961542</v>
      </c>
      <c r="I26" s="131">
        <f t="shared" si="13"/>
        <v>23374.9</v>
      </c>
      <c r="J26" s="131">
        <f t="shared" si="13"/>
        <v>10374.665399999998</v>
      </c>
      <c r="K26" s="131">
        <f t="shared" si="13"/>
        <v>13089.945004500001</v>
      </c>
      <c r="L26" s="131">
        <f t="shared" ref="L26:L35" si="14">SUM(F26:K26)</f>
        <v>1659431.1371872309</v>
      </c>
      <c r="M26" s="131">
        <f t="shared" ref="M26:M35" si="15">L26*15%</f>
        <v>248914.67057808462</v>
      </c>
      <c r="N26" s="131">
        <f t="shared" ref="N26:N35" si="16">L26+M26</f>
        <v>1908345.8077653155</v>
      </c>
      <c r="O26" s="131">
        <f t="shared" si="6"/>
        <v>128512.74149999997</v>
      </c>
      <c r="P26" s="139">
        <f t="shared" si="6"/>
        <v>332318.46153846156</v>
      </c>
      <c r="Q26" s="277">
        <f t="shared" si="6"/>
        <v>1443038.2200000002</v>
      </c>
      <c r="R26" s="131">
        <f>R29</f>
        <v>140080.76923076925</v>
      </c>
      <c r="S26" s="131">
        <f t="shared" si="7"/>
        <v>14634.112551961542</v>
      </c>
      <c r="T26" s="131">
        <f t="shared" si="7"/>
        <v>23374.9</v>
      </c>
      <c r="U26" s="131">
        <f t="shared" si="7"/>
        <v>10374.665399999998</v>
      </c>
      <c r="V26" s="131">
        <f t="shared" si="7"/>
        <v>13089.945004500001</v>
      </c>
      <c r="W26" s="131">
        <f t="shared" si="8"/>
        <v>1644592.612187231</v>
      </c>
      <c r="X26" s="131">
        <f t="shared" si="9"/>
        <v>246688.89182808463</v>
      </c>
      <c r="Y26" s="131">
        <f t="shared" ref="Y26:Y35" si="17">W26+X26</f>
        <v>1891281.5040153156</v>
      </c>
      <c r="Z26" s="131">
        <f t="shared" si="10"/>
        <v>127234.51649999998</v>
      </c>
      <c r="AA26" s="139">
        <f t="shared" si="10"/>
        <v>332318.46153846156</v>
      </c>
      <c r="AB26" s="277">
        <f t="shared" si="10"/>
        <v>2105213.2335000001</v>
      </c>
      <c r="AC26" s="131">
        <f>AC29</f>
        <v>182105</v>
      </c>
      <c r="AD26" s="131">
        <f t="shared" si="11"/>
        <v>19024.346317550004</v>
      </c>
      <c r="AE26" s="131">
        <f t="shared" si="11"/>
        <v>23374.9</v>
      </c>
      <c r="AF26" s="131">
        <f t="shared" si="11"/>
        <v>13487.065019999998</v>
      </c>
      <c r="AG26" s="131">
        <f t="shared" si="11"/>
        <v>17016.928505850003</v>
      </c>
      <c r="AH26" s="131">
        <f t="shared" ref="AH26:AH35" si="18">SUM(AB26:AG26)</f>
        <v>2360221.4733434003</v>
      </c>
      <c r="AI26" s="131">
        <f t="shared" ref="AI26:AI35" si="19">AH26*15%</f>
        <v>354033.22100151004</v>
      </c>
      <c r="AJ26" s="131">
        <f t="shared" ref="AJ26:AJ35" si="20">AH26+AI26</f>
        <v>2714254.6943449103</v>
      </c>
      <c r="AK26" s="131">
        <f t="shared" si="12"/>
        <v>196181.973</v>
      </c>
      <c r="AL26" s="139">
        <f t="shared" si="12"/>
        <v>460461.53846153844</v>
      </c>
    </row>
    <row r="27" spans="1:38" s="86" customFormat="1">
      <c r="A27" s="1431"/>
      <c r="B27" s="1624"/>
      <c r="C27" s="1627"/>
      <c r="D27" s="1610"/>
      <c r="E27" s="275" t="s">
        <v>35</v>
      </c>
      <c r="F27" s="141">
        <f>F30+F$35</f>
        <v>1514326.4955000002</v>
      </c>
      <c r="G27" s="131">
        <f>G30</f>
        <v>154088.84615384616</v>
      </c>
      <c r="H27" s="131">
        <f t="shared" si="13"/>
        <v>14634.112551961542</v>
      </c>
      <c r="I27" s="131">
        <f t="shared" si="13"/>
        <v>23374.9</v>
      </c>
      <c r="J27" s="131">
        <f t="shared" si="13"/>
        <v>10374.665399999998</v>
      </c>
      <c r="K27" s="131">
        <f t="shared" si="13"/>
        <v>13089.945004500001</v>
      </c>
      <c r="L27" s="131">
        <f t="shared" si="14"/>
        <v>1729888.9646103079</v>
      </c>
      <c r="M27" s="131">
        <f t="shared" si="15"/>
        <v>259483.34469154617</v>
      </c>
      <c r="N27" s="131">
        <f t="shared" si="16"/>
        <v>1989372.3093018541</v>
      </c>
      <c r="O27" s="131">
        <f t="shared" si="6"/>
        <v>133574.51249999998</v>
      </c>
      <c r="P27" s="139">
        <f t="shared" si="6"/>
        <v>333610</v>
      </c>
      <c r="Q27" s="277">
        <f t="shared" si="6"/>
        <v>1499487.9705000003</v>
      </c>
      <c r="R27" s="131">
        <f>R30</f>
        <v>154088.84615384616</v>
      </c>
      <c r="S27" s="131">
        <f t="shared" si="7"/>
        <v>14634.112551961542</v>
      </c>
      <c r="T27" s="131">
        <f t="shared" si="7"/>
        <v>23374.9</v>
      </c>
      <c r="U27" s="131">
        <f t="shared" si="7"/>
        <v>10374.665399999998</v>
      </c>
      <c r="V27" s="131">
        <f t="shared" si="7"/>
        <v>13089.945004500001</v>
      </c>
      <c r="W27" s="131">
        <f t="shared" si="8"/>
        <v>1715050.439610308</v>
      </c>
      <c r="X27" s="131">
        <f t="shared" si="9"/>
        <v>257257.5659415462</v>
      </c>
      <c r="Y27" s="131">
        <f t="shared" si="17"/>
        <v>1972308.0055518541</v>
      </c>
      <c r="Z27" s="131">
        <f t="shared" si="10"/>
        <v>132296.28749999998</v>
      </c>
      <c r="AA27" s="139">
        <f t="shared" si="10"/>
        <v>332206.15384615387</v>
      </c>
      <c r="AB27" s="277">
        <f t="shared" si="10"/>
        <v>2178768.9690000005</v>
      </c>
      <c r="AC27" s="131">
        <f>AC30</f>
        <v>200297.30769230772</v>
      </c>
      <c r="AD27" s="131">
        <f t="shared" si="11"/>
        <v>19024.346317550004</v>
      </c>
      <c r="AE27" s="131">
        <f t="shared" si="11"/>
        <v>23374.9</v>
      </c>
      <c r="AF27" s="131">
        <f t="shared" si="11"/>
        <v>13487.065019999998</v>
      </c>
      <c r="AG27" s="131">
        <f t="shared" si="11"/>
        <v>17016.928505850003</v>
      </c>
      <c r="AH27" s="131">
        <f t="shared" si="18"/>
        <v>2451969.5165357082</v>
      </c>
      <c r="AI27" s="131">
        <f t="shared" si="19"/>
        <v>367795.42748035624</v>
      </c>
      <c r="AJ27" s="131">
        <f t="shared" si="20"/>
        <v>2819764.9440160645</v>
      </c>
      <c r="AK27" s="131">
        <f t="shared" si="12"/>
        <v>202777.614</v>
      </c>
      <c r="AL27" s="139">
        <f t="shared" si="12"/>
        <v>461725</v>
      </c>
    </row>
    <row r="28" spans="1:38" s="88" customFormat="1" ht="13.5">
      <c r="A28" s="1612" t="s">
        <v>657</v>
      </c>
      <c r="B28" s="1625" t="str">
        <f>NCong!A98</f>
        <v>II.1</v>
      </c>
      <c r="C28" s="1622" t="str">
        <f>NCong!B98</f>
        <v>CÁC NỘI DUNG THỰC HIỆN TẠI ĐỊA BÀN CẤP XÃ, PHƯỜNG</v>
      </c>
      <c r="D28" s="1608" t="s">
        <v>53</v>
      </c>
      <c r="E28" s="288">
        <v>1</v>
      </c>
      <c r="F28" s="290">
        <f>NCong!K98</f>
        <v>1339868.7900000003</v>
      </c>
      <c r="G28" s="290">
        <f>NCong!K99</f>
        <v>127346.15384615384</v>
      </c>
      <c r="H28" s="290">
        <f>Dcu!K$86</f>
        <v>14634.112551961542</v>
      </c>
      <c r="I28" s="290">
        <f>VLieu!I$49</f>
        <v>23374.9</v>
      </c>
      <c r="J28" s="290">
        <f>Tbi!$I$38</f>
        <v>10374.665399999998</v>
      </c>
      <c r="K28" s="290">
        <f>Tbi!$I$45</f>
        <v>13089.945004500001</v>
      </c>
      <c r="L28" s="290">
        <f t="shared" si="14"/>
        <v>1528688.5668026155</v>
      </c>
      <c r="M28" s="290">
        <f t="shared" si="15"/>
        <v>229303.28502039233</v>
      </c>
      <c r="N28" s="290">
        <f t="shared" si="16"/>
        <v>1757991.8518230079</v>
      </c>
      <c r="O28" s="290">
        <f>NCong!N98</f>
        <v>118798.23149999998</v>
      </c>
      <c r="P28" s="291">
        <f>NCong!Q98</f>
        <v>327040</v>
      </c>
      <c r="Q28" s="300">
        <f>NCong!L98</f>
        <v>1325030.2650000001</v>
      </c>
      <c r="R28" s="290">
        <f>NCong!L99</f>
        <v>127346.15384615384</v>
      </c>
      <c r="S28" s="290">
        <f t="shared" ref="S28:S35" si="21">H28</f>
        <v>14634.112551961542</v>
      </c>
      <c r="T28" s="290">
        <f t="shared" ref="T28:V30" si="22">I28</f>
        <v>23374.9</v>
      </c>
      <c r="U28" s="290">
        <f t="shared" si="22"/>
        <v>10374.665399999998</v>
      </c>
      <c r="V28" s="290">
        <f t="shared" si="22"/>
        <v>13089.945004500001</v>
      </c>
      <c r="W28" s="290">
        <f t="shared" si="8"/>
        <v>1513850.0418026154</v>
      </c>
      <c r="X28" s="290">
        <f t="shared" si="9"/>
        <v>227077.5062703923</v>
      </c>
      <c r="Y28" s="290">
        <f t="shared" si="17"/>
        <v>1740927.5480730077</v>
      </c>
      <c r="Z28" s="290">
        <f>NCong!O98</f>
        <v>117520.00649999999</v>
      </c>
      <c r="AA28" s="291">
        <f>NCong!R98</f>
        <v>327040</v>
      </c>
      <c r="AB28" s="300">
        <f>NCong!M98</f>
        <v>1951802.8920000002</v>
      </c>
      <c r="AC28" s="290">
        <f>NCong!M99</f>
        <v>165550.00000000003</v>
      </c>
      <c r="AD28" s="290">
        <f>H28*1.3</f>
        <v>19024.346317550004</v>
      </c>
      <c r="AE28" s="290">
        <f>I28</f>
        <v>23374.9</v>
      </c>
      <c r="AF28" s="290">
        <f t="shared" ref="AF28:AF34" si="23">J28*1.3</f>
        <v>13487.065019999998</v>
      </c>
      <c r="AG28" s="290">
        <f t="shared" ref="AG28:AG34" si="24">K28*1.3</f>
        <v>17016.928505850003</v>
      </c>
      <c r="AH28" s="290">
        <f t="shared" si="18"/>
        <v>2190256.1318434007</v>
      </c>
      <c r="AI28" s="290">
        <f t="shared" si="19"/>
        <v>328538.4197765101</v>
      </c>
      <c r="AJ28" s="290">
        <f t="shared" si="20"/>
        <v>2518794.5516199106</v>
      </c>
      <c r="AK28" s="290">
        <f>NCong!P98</f>
        <v>183553.11000000004</v>
      </c>
      <c r="AL28" s="291">
        <f>NCong!S98</f>
        <v>453582.69230769225</v>
      </c>
    </row>
    <row r="29" spans="1:38" s="88" customFormat="1" ht="13.5">
      <c r="A29" s="1612"/>
      <c r="B29" s="1626"/>
      <c r="C29" s="1623"/>
      <c r="D29" s="1609"/>
      <c r="E29" s="288" t="s">
        <v>34</v>
      </c>
      <c r="F29" s="290">
        <f>NCong!K100</f>
        <v>1391186.7450000001</v>
      </c>
      <c r="G29" s="290">
        <f>NCong!K101</f>
        <v>140080.76923076925</v>
      </c>
      <c r="H29" s="290">
        <f>Dcu!K$86</f>
        <v>14634.112551961542</v>
      </c>
      <c r="I29" s="290">
        <f>VLieu!I$49</f>
        <v>23374.9</v>
      </c>
      <c r="J29" s="290">
        <f>Tbi!$I$38</f>
        <v>10374.665399999998</v>
      </c>
      <c r="K29" s="290">
        <f>Tbi!$I$45</f>
        <v>13089.945004500001</v>
      </c>
      <c r="L29" s="290">
        <f t="shared" si="14"/>
        <v>1592741.1371872309</v>
      </c>
      <c r="M29" s="290">
        <f t="shared" si="15"/>
        <v>238911.17057808462</v>
      </c>
      <c r="N29" s="290">
        <f t="shared" si="16"/>
        <v>1831652.3077653155</v>
      </c>
      <c r="O29" s="290">
        <f>NCong!N100</f>
        <v>123399.84149999998</v>
      </c>
      <c r="P29" s="291">
        <f>NCong!Q100</f>
        <v>326703.07692307694</v>
      </c>
      <c r="Q29" s="300">
        <f>NCong!L100</f>
        <v>1376348.2200000002</v>
      </c>
      <c r="R29" s="290">
        <f>NCong!L101</f>
        <v>140080.76923076925</v>
      </c>
      <c r="S29" s="290">
        <f t="shared" si="21"/>
        <v>14634.112551961542</v>
      </c>
      <c r="T29" s="290">
        <f t="shared" si="22"/>
        <v>23374.9</v>
      </c>
      <c r="U29" s="290">
        <f t="shared" si="22"/>
        <v>10374.665399999998</v>
      </c>
      <c r="V29" s="290">
        <f t="shared" si="22"/>
        <v>13089.945004500001</v>
      </c>
      <c r="W29" s="290">
        <f t="shared" si="8"/>
        <v>1577902.612187231</v>
      </c>
      <c r="X29" s="290">
        <f t="shared" si="9"/>
        <v>236685.39182808463</v>
      </c>
      <c r="Y29" s="290">
        <f t="shared" si="17"/>
        <v>1814588.0040153156</v>
      </c>
      <c r="Z29" s="290">
        <f>NCong!O100</f>
        <v>122121.61649999999</v>
      </c>
      <c r="AA29" s="291">
        <f>NCong!R100</f>
        <v>326703.07692307694</v>
      </c>
      <c r="AB29" s="300">
        <f>NCong!M100</f>
        <v>2018516.2335000003</v>
      </c>
      <c r="AC29" s="290">
        <f>NCong!M101</f>
        <v>182105</v>
      </c>
      <c r="AD29" s="290">
        <f t="shared" ref="AD29:AD35" si="25">H29*1.3</f>
        <v>19024.346317550004</v>
      </c>
      <c r="AE29" s="290">
        <f t="shared" ref="AE29:AE35" si="26">I29</f>
        <v>23374.9</v>
      </c>
      <c r="AF29" s="290">
        <f t="shared" si="23"/>
        <v>13487.065019999998</v>
      </c>
      <c r="AG29" s="290">
        <f t="shared" si="24"/>
        <v>17016.928505850003</v>
      </c>
      <c r="AH29" s="290">
        <f t="shared" si="18"/>
        <v>2273524.4733434003</v>
      </c>
      <c r="AI29" s="290">
        <f t="shared" si="19"/>
        <v>341028.67100151005</v>
      </c>
      <c r="AJ29" s="290">
        <f t="shared" si="20"/>
        <v>2614553.1443449105</v>
      </c>
      <c r="AK29" s="290">
        <f>NCong!P100</f>
        <v>189535.20300000001</v>
      </c>
      <c r="AL29" s="291">
        <f>NCong!S100</f>
        <v>453161.53846153844</v>
      </c>
    </row>
    <row r="30" spans="1:38" s="88" customFormat="1" ht="13.5">
      <c r="A30" s="1612"/>
      <c r="B30" s="1626"/>
      <c r="C30" s="1623"/>
      <c r="D30" s="1609"/>
      <c r="E30" s="288" t="s">
        <v>35</v>
      </c>
      <c r="F30" s="290">
        <f>NCong!K102</f>
        <v>1447636.4955000002</v>
      </c>
      <c r="G30" s="290">
        <f>NCong!K103</f>
        <v>154088.84615384616</v>
      </c>
      <c r="H30" s="290">
        <f>Dcu!K$86</f>
        <v>14634.112551961542</v>
      </c>
      <c r="I30" s="290">
        <f>VLieu!I$49</f>
        <v>23374.9</v>
      </c>
      <c r="J30" s="290">
        <f>Tbi!$I$38</f>
        <v>10374.665399999998</v>
      </c>
      <c r="K30" s="290">
        <f>Tbi!$I$45</f>
        <v>13089.945004500001</v>
      </c>
      <c r="L30" s="290">
        <f t="shared" si="14"/>
        <v>1663198.9646103079</v>
      </c>
      <c r="M30" s="290">
        <f t="shared" si="15"/>
        <v>249479.84469154617</v>
      </c>
      <c r="N30" s="290">
        <f t="shared" si="16"/>
        <v>1912678.8093018541</v>
      </c>
      <c r="O30" s="290">
        <f>NCong!N102</f>
        <v>128461.61249999999</v>
      </c>
      <c r="P30" s="291">
        <f>NCong!Q102</f>
        <v>327994.61538461538</v>
      </c>
      <c r="Q30" s="300">
        <f>NCong!L102</f>
        <v>1432797.9705000003</v>
      </c>
      <c r="R30" s="290">
        <f>NCong!L103</f>
        <v>154088.84615384616</v>
      </c>
      <c r="S30" s="290">
        <f t="shared" si="21"/>
        <v>14634.112551961542</v>
      </c>
      <c r="T30" s="290">
        <f t="shared" si="22"/>
        <v>23374.9</v>
      </c>
      <c r="U30" s="290">
        <f t="shared" si="22"/>
        <v>10374.665399999998</v>
      </c>
      <c r="V30" s="290">
        <f t="shared" si="22"/>
        <v>13089.945004500001</v>
      </c>
      <c r="W30" s="290">
        <f t="shared" si="8"/>
        <v>1648360.439610308</v>
      </c>
      <c r="X30" s="290">
        <f t="shared" si="9"/>
        <v>247254.0659415462</v>
      </c>
      <c r="Y30" s="290">
        <f t="shared" si="17"/>
        <v>1895614.5055518541</v>
      </c>
      <c r="Z30" s="290">
        <f>NCong!O102</f>
        <v>127183.38749999998</v>
      </c>
      <c r="AA30" s="291">
        <f>NCong!R102</f>
        <v>326590.76923076925</v>
      </c>
      <c r="AB30" s="300">
        <f>NCong!M102</f>
        <v>2092071.9690000003</v>
      </c>
      <c r="AC30" s="290">
        <f>NCong!M103</f>
        <v>200297.30769230772</v>
      </c>
      <c r="AD30" s="290">
        <f t="shared" si="25"/>
        <v>19024.346317550004</v>
      </c>
      <c r="AE30" s="290">
        <f t="shared" si="26"/>
        <v>23374.9</v>
      </c>
      <c r="AF30" s="290">
        <f t="shared" si="23"/>
        <v>13487.065019999998</v>
      </c>
      <c r="AG30" s="290">
        <f t="shared" si="24"/>
        <v>17016.928505850003</v>
      </c>
      <c r="AH30" s="290">
        <f t="shared" si="18"/>
        <v>2365272.5165357082</v>
      </c>
      <c r="AI30" s="290">
        <f t="shared" si="19"/>
        <v>354790.8774803562</v>
      </c>
      <c r="AJ30" s="290">
        <f t="shared" si="20"/>
        <v>2720063.3940160642</v>
      </c>
      <c r="AK30" s="290">
        <f>NCong!P102</f>
        <v>196130.84400000001</v>
      </c>
      <c r="AL30" s="291">
        <f>NCong!S102</f>
        <v>454425</v>
      </c>
    </row>
    <row r="31" spans="1:38" ht="45" customHeight="1">
      <c r="A31" s="523">
        <v>1</v>
      </c>
      <c r="B31" s="1029">
        <f>NCong!A139</f>
        <v>16</v>
      </c>
      <c r="C31" s="958" t="str">
        <f>NCong!B139</f>
        <v>Chuyển Thông báo xác nhận kết quả đăng ký đất đai đến Bộ phận một cửa hoặc chuyển Giấy chứng nhận thông qua dịch vụ bưu chính công ích để trao cho người sử dụng đất</v>
      </c>
      <c r="D31" s="958" t="str">
        <f>NCong!C139</f>
        <v>Hồ sơ</v>
      </c>
      <c r="E31" s="78" t="str">
        <f>NCong!F143</f>
        <v>1-3</v>
      </c>
      <c r="F31" s="95">
        <f>NCong!K139</f>
        <v>14838.525000000001</v>
      </c>
      <c r="G31" s="95"/>
      <c r="H31" s="95"/>
      <c r="I31" s="95"/>
      <c r="J31" s="95"/>
      <c r="K31" s="95"/>
      <c r="L31" s="95">
        <f t="shared" si="14"/>
        <v>14838.525000000001</v>
      </c>
      <c r="M31" s="95">
        <f t="shared" si="15"/>
        <v>2225.7787499999999</v>
      </c>
      <c r="N31" s="95">
        <f t="shared" si="16"/>
        <v>17064.303750000003</v>
      </c>
      <c r="O31" s="95">
        <f>NCong!R143</f>
        <v>2807.6923076923081</v>
      </c>
      <c r="P31" s="96">
        <f>NCong!S143</f>
        <v>3650.0000000000005</v>
      </c>
      <c r="Q31" s="278">
        <f t="shared" ref="Q31:R35" si="27">F31</f>
        <v>14838.525000000001</v>
      </c>
      <c r="R31" s="95">
        <f t="shared" si="27"/>
        <v>0</v>
      </c>
      <c r="S31" s="95">
        <f t="shared" si="21"/>
        <v>0</v>
      </c>
      <c r="T31" s="95">
        <f t="shared" ref="T31:V35" si="28">I31</f>
        <v>0</v>
      </c>
      <c r="U31" s="95">
        <f t="shared" si="28"/>
        <v>0</v>
      </c>
      <c r="V31" s="95">
        <f t="shared" si="28"/>
        <v>0</v>
      </c>
      <c r="W31" s="95">
        <f t="shared" si="8"/>
        <v>14838.525000000001</v>
      </c>
      <c r="X31" s="95">
        <f t="shared" si="9"/>
        <v>2225.7787499999999</v>
      </c>
      <c r="Y31" s="95">
        <f t="shared" si="17"/>
        <v>17064.303750000003</v>
      </c>
      <c r="Z31" s="95">
        <f t="shared" ref="Z31:AA35" si="29">O31</f>
        <v>2807.6923076923081</v>
      </c>
      <c r="AA31" s="96">
        <f t="shared" si="29"/>
        <v>3650.0000000000005</v>
      </c>
      <c r="AB31" s="278"/>
      <c r="AC31" s="95"/>
      <c r="AD31" s="95">
        <f t="shared" si="25"/>
        <v>0</v>
      </c>
      <c r="AE31" s="95">
        <f t="shared" si="26"/>
        <v>0</v>
      </c>
      <c r="AF31" s="95">
        <f t="shared" si="23"/>
        <v>0</v>
      </c>
      <c r="AG31" s="95">
        <f t="shared" si="24"/>
        <v>0</v>
      </c>
      <c r="AH31" s="95">
        <f t="shared" si="18"/>
        <v>0</v>
      </c>
      <c r="AI31" s="95">
        <f t="shared" si="19"/>
        <v>0</v>
      </c>
      <c r="AJ31" s="95">
        <f t="shared" si="20"/>
        <v>0</v>
      </c>
      <c r="AK31" s="95">
        <f>NCong!AN143</f>
        <v>0</v>
      </c>
      <c r="AL31" s="96">
        <f>NCong!AO143</f>
        <v>0</v>
      </c>
    </row>
    <row r="32" spans="1:38" s="111" customFormat="1" ht="37.5" customHeight="1">
      <c r="A32" s="526">
        <v>2</v>
      </c>
      <c r="B32" s="1029" t="str">
        <f>NCong!A140</f>
        <v>17</v>
      </c>
      <c r="C32" s="958" t="str">
        <f>NCong!B140</f>
        <v>Chuyển hồ sơ đến Văn phòng đăng ký đất đai để cập nhật, chỉnh lý hồ sơ địa chính, cơ sở dữ liệu đất đai.</v>
      </c>
      <c r="D32" s="122" t="str">
        <f>NCong!C140</f>
        <v>Hồ sơ</v>
      </c>
      <c r="E32" s="123" t="str">
        <f>NCong!F144</f>
        <v>1-3</v>
      </c>
      <c r="F32" s="95">
        <f>NCong!K140</f>
        <v>14838.525000000001</v>
      </c>
      <c r="G32" s="93"/>
      <c r="H32" s="93"/>
      <c r="I32" s="93"/>
      <c r="J32" s="93"/>
      <c r="K32" s="93"/>
      <c r="L32" s="93">
        <f t="shared" si="14"/>
        <v>14838.525000000001</v>
      </c>
      <c r="M32" s="93">
        <f t="shared" si="15"/>
        <v>2225.7787499999999</v>
      </c>
      <c r="N32" s="93">
        <f t="shared" si="16"/>
        <v>17064.303750000003</v>
      </c>
      <c r="O32" s="93">
        <f>NCong!N144</f>
        <v>5112.9000000000005</v>
      </c>
      <c r="P32" s="94">
        <f>NCong!Q144</f>
        <v>5615.3846153846162</v>
      </c>
      <c r="Q32" s="304">
        <f t="shared" si="27"/>
        <v>14838.525000000001</v>
      </c>
      <c r="R32" s="93">
        <f t="shared" si="27"/>
        <v>0</v>
      </c>
      <c r="S32" s="93">
        <f t="shared" si="21"/>
        <v>0</v>
      </c>
      <c r="T32" s="93">
        <f t="shared" si="28"/>
        <v>0</v>
      </c>
      <c r="U32" s="93">
        <f t="shared" si="28"/>
        <v>0</v>
      </c>
      <c r="V32" s="93">
        <f t="shared" si="28"/>
        <v>0</v>
      </c>
      <c r="W32" s="93">
        <f t="shared" si="8"/>
        <v>14838.525000000001</v>
      </c>
      <c r="X32" s="93">
        <f t="shared" si="9"/>
        <v>2225.7787499999999</v>
      </c>
      <c r="Y32" s="93">
        <f t="shared" si="17"/>
        <v>17064.303750000003</v>
      </c>
      <c r="Z32" s="93">
        <f t="shared" si="29"/>
        <v>5112.9000000000005</v>
      </c>
      <c r="AA32" s="94">
        <f t="shared" si="29"/>
        <v>5615.3846153846162</v>
      </c>
      <c r="AB32" s="304">
        <f>NCong!M101*1.3</f>
        <v>236736.5</v>
      </c>
      <c r="AC32" s="304">
        <f>NCong!N101*1.3</f>
        <v>25590.0645</v>
      </c>
      <c r="AD32" s="93">
        <f t="shared" si="25"/>
        <v>0</v>
      </c>
      <c r="AE32" s="93">
        <f t="shared" si="26"/>
        <v>0</v>
      </c>
      <c r="AF32" s="93">
        <f t="shared" si="23"/>
        <v>0</v>
      </c>
      <c r="AG32" s="93">
        <f t="shared" si="24"/>
        <v>0</v>
      </c>
      <c r="AH32" s="93">
        <f t="shared" si="18"/>
        <v>262326.56449999998</v>
      </c>
      <c r="AI32" s="93">
        <f t="shared" si="19"/>
        <v>39348.984674999992</v>
      </c>
      <c r="AJ32" s="93">
        <f t="shared" si="20"/>
        <v>301675.54917499999</v>
      </c>
      <c r="AK32" s="93">
        <f>NCong!P144</f>
        <v>6646.77</v>
      </c>
      <c r="AL32" s="94">
        <f>NCong!S144</f>
        <v>7300.0000000000009</v>
      </c>
    </row>
    <row r="33" spans="1:38" s="111" customFormat="1" ht="21" customHeight="1">
      <c r="A33" s="523">
        <v>3</v>
      </c>
      <c r="B33" s="1029">
        <f>NCong!A141</f>
        <v>18</v>
      </c>
      <c r="C33" s="958" t="str">
        <f>NCong!B141</f>
        <v>Quyết định hình thức sử dụng đất đối với tổ chức</v>
      </c>
      <c r="D33" s="122" t="str">
        <f>NCong!C141</f>
        <v>Hồ sơ</v>
      </c>
      <c r="E33" s="123">
        <f>NCong!F145</f>
        <v>0</v>
      </c>
      <c r="F33" s="95">
        <f>NCong!K141</f>
        <v>16672.5</v>
      </c>
      <c r="G33" s="93"/>
      <c r="H33" s="93"/>
      <c r="I33" s="93"/>
      <c r="J33" s="93"/>
      <c r="K33" s="93"/>
      <c r="L33" s="93">
        <f t="shared" si="14"/>
        <v>16672.5</v>
      </c>
      <c r="M33" s="93">
        <f t="shared" si="15"/>
        <v>2500.875</v>
      </c>
      <c r="N33" s="93">
        <f t="shared" si="16"/>
        <v>19173.375</v>
      </c>
      <c r="O33" s="93">
        <f>NCong!N145</f>
        <v>0</v>
      </c>
      <c r="P33" s="94">
        <f>NCong!Q145</f>
        <v>0</v>
      </c>
      <c r="Q33" s="304">
        <f t="shared" si="27"/>
        <v>16672.5</v>
      </c>
      <c r="R33" s="93">
        <f t="shared" si="27"/>
        <v>0</v>
      </c>
      <c r="S33" s="93">
        <f t="shared" si="21"/>
        <v>0</v>
      </c>
      <c r="T33" s="93">
        <f t="shared" si="28"/>
        <v>0</v>
      </c>
      <c r="U33" s="93">
        <f t="shared" si="28"/>
        <v>0</v>
      </c>
      <c r="V33" s="93">
        <f t="shared" si="28"/>
        <v>0</v>
      </c>
      <c r="W33" s="93">
        <f t="shared" si="8"/>
        <v>16672.5</v>
      </c>
      <c r="X33" s="93">
        <f t="shared" si="9"/>
        <v>2500.875</v>
      </c>
      <c r="Y33" s="93">
        <f t="shared" si="17"/>
        <v>19173.375</v>
      </c>
      <c r="Z33" s="93">
        <f t="shared" si="29"/>
        <v>0</v>
      </c>
      <c r="AA33" s="94">
        <f t="shared" si="29"/>
        <v>0</v>
      </c>
      <c r="AB33" s="304">
        <f>NCong!M102*1.3</f>
        <v>2719693.5597000006</v>
      </c>
      <c r="AC33" s="304">
        <f>NCong!N102*1.3</f>
        <v>167000.09625</v>
      </c>
      <c r="AD33" s="93">
        <f t="shared" si="25"/>
        <v>0</v>
      </c>
      <c r="AE33" s="93">
        <f t="shared" si="26"/>
        <v>0</v>
      </c>
      <c r="AF33" s="93">
        <f t="shared" si="23"/>
        <v>0</v>
      </c>
      <c r="AG33" s="93">
        <f t="shared" si="24"/>
        <v>0</v>
      </c>
      <c r="AH33" s="93">
        <f t="shared" si="18"/>
        <v>2886693.6559500005</v>
      </c>
      <c r="AI33" s="93">
        <f t="shared" si="19"/>
        <v>433004.04839250009</v>
      </c>
      <c r="AJ33" s="93">
        <f t="shared" si="20"/>
        <v>3319697.7043425008</v>
      </c>
      <c r="AK33" s="93">
        <f>NCong!P145</f>
        <v>0</v>
      </c>
      <c r="AL33" s="94">
        <f>NCong!S145</f>
        <v>0</v>
      </c>
    </row>
    <row r="34" spans="1:38" ht="20.25" customHeight="1">
      <c r="A34" s="526">
        <v>4</v>
      </c>
      <c r="B34" s="1029">
        <f>NCong!A151</f>
        <v>23.1</v>
      </c>
      <c r="C34" s="80" t="str">
        <f>NCong!B151</f>
        <v xml:space="preserve">Trực tiếp từ cơ sở dữ liệu dạng số </v>
      </c>
      <c r="D34" s="78" t="str">
        <f>NCong!C151</f>
        <v>Hồ sơ</v>
      </c>
      <c r="E34" s="78" t="str">
        <f>NCong!F151</f>
        <v>1-3</v>
      </c>
      <c r="F34" s="95">
        <f>NCong!K151</f>
        <v>29677.050000000003</v>
      </c>
      <c r="G34" s="95"/>
      <c r="H34" s="95"/>
      <c r="I34" s="95"/>
      <c r="J34" s="95"/>
      <c r="K34" s="95"/>
      <c r="L34" s="95">
        <f t="shared" si="14"/>
        <v>29677.050000000003</v>
      </c>
      <c r="M34" s="95">
        <f t="shared" si="15"/>
        <v>4451.5574999999999</v>
      </c>
      <c r="N34" s="95">
        <f t="shared" si="16"/>
        <v>34128.607500000006</v>
      </c>
      <c r="O34" s="95">
        <f>NCong!N151</f>
        <v>2556.4500000000003</v>
      </c>
      <c r="P34" s="96">
        <f>NCong!Q151</f>
        <v>2807.6923076923081</v>
      </c>
      <c r="Q34" s="304">
        <f t="shared" si="27"/>
        <v>29677.050000000003</v>
      </c>
      <c r="R34" s="95">
        <f t="shared" si="27"/>
        <v>0</v>
      </c>
      <c r="S34" s="95">
        <f t="shared" si="21"/>
        <v>0</v>
      </c>
      <c r="T34" s="95">
        <f t="shared" si="28"/>
        <v>0</v>
      </c>
      <c r="U34" s="95">
        <f t="shared" si="28"/>
        <v>0</v>
      </c>
      <c r="V34" s="95">
        <f t="shared" si="28"/>
        <v>0</v>
      </c>
      <c r="W34" s="95">
        <f t="shared" si="8"/>
        <v>29677.050000000003</v>
      </c>
      <c r="X34" s="95">
        <f t="shared" si="9"/>
        <v>4451.5574999999999</v>
      </c>
      <c r="Y34" s="95">
        <f t="shared" si="17"/>
        <v>34128.607500000006</v>
      </c>
      <c r="Z34" s="95">
        <f t="shared" si="29"/>
        <v>2556.4500000000003</v>
      </c>
      <c r="AA34" s="96">
        <f t="shared" si="29"/>
        <v>2807.6923076923081</v>
      </c>
      <c r="AB34" s="304">
        <f>NCong!M103*1.3</f>
        <v>260386.50000000003</v>
      </c>
      <c r="AC34" s="304">
        <f>NCong!N103*1.3</f>
        <v>28149.070950000001</v>
      </c>
      <c r="AD34" s="95">
        <f t="shared" si="25"/>
        <v>0</v>
      </c>
      <c r="AE34" s="95">
        <f t="shared" si="26"/>
        <v>0</v>
      </c>
      <c r="AF34" s="95">
        <f t="shared" si="23"/>
        <v>0</v>
      </c>
      <c r="AG34" s="95">
        <f t="shared" si="24"/>
        <v>0</v>
      </c>
      <c r="AH34" s="95">
        <f t="shared" si="18"/>
        <v>288535.57095000002</v>
      </c>
      <c r="AI34" s="95">
        <f t="shared" si="19"/>
        <v>43280.335642500002</v>
      </c>
      <c r="AJ34" s="95">
        <f t="shared" si="20"/>
        <v>331815.90659250005</v>
      </c>
      <c r="AK34" s="95">
        <f>NCong!P151</f>
        <v>2556.4500000000003</v>
      </c>
      <c r="AL34" s="96">
        <f>NCong!S151</f>
        <v>2807.6923076923081</v>
      </c>
    </row>
    <row r="35" spans="1:38" s="88" customFormat="1" ht="21.75" customHeight="1">
      <c r="A35" s="1035" t="s">
        <v>663</v>
      </c>
      <c r="B35" s="1030" t="str">
        <f>NCong!A162</f>
        <v>II.2</v>
      </c>
      <c r="C35" s="295" t="str">
        <f>NCong!B162</f>
        <v>CÁC NỘI DUNG THỰC HIỆN TẠI ĐỊA BÀN CẤP TỈNH</v>
      </c>
      <c r="D35" s="296"/>
      <c r="E35" s="296"/>
      <c r="F35" s="297">
        <f>NCong!K162</f>
        <v>66690</v>
      </c>
      <c r="G35" s="297"/>
      <c r="H35" s="297"/>
      <c r="I35" s="297"/>
      <c r="J35" s="297"/>
      <c r="K35" s="297"/>
      <c r="L35" s="297">
        <f t="shared" si="14"/>
        <v>66690</v>
      </c>
      <c r="M35" s="297">
        <f t="shared" si="15"/>
        <v>10003.5</v>
      </c>
      <c r="N35" s="297">
        <f t="shared" si="16"/>
        <v>76693.5</v>
      </c>
      <c r="O35" s="297">
        <f>NCong!N162</f>
        <v>5112.9000000000005</v>
      </c>
      <c r="P35" s="298">
        <f>NCong!Q162</f>
        <v>5615.3846153846162</v>
      </c>
      <c r="Q35" s="299">
        <f t="shared" si="27"/>
        <v>66690</v>
      </c>
      <c r="R35" s="297">
        <f t="shared" si="27"/>
        <v>0</v>
      </c>
      <c r="S35" s="297">
        <f t="shared" si="21"/>
        <v>0</v>
      </c>
      <c r="T35" s="297">
        <f t="shared" si="28"/>
        <v>0</v>
      </c>
      <c r="U35" s="297">
        <f t="shared" si="28"/>
        <v>0</v>
      </c>
      <c r="V35" s="297">
        <f t="shared" si="28"/>
        <v>0</v>
      </c>
      <c r="W35" s="297">
        <f t="shared" si="8"/>
        <v>66690</v>
      </c>
      <c r="X35" s="297">
        <f t="shared" si="9"/>
        <v>10003.5</v>
      </c>
      <c r="Y35" s="297">
        <f t="shared" si="17"/>
        <v>76693.5</v>
      </c>
      <c r="Z35" s="297">
        <f t="shared" si="29"/>
        <v>5112.9000000000005</v>
      </c>
      <c r="AA35" s="298">
        <f t="shared" si="29"/>
        <v>5615.3846153846162</v>
      </c>
      <c r="AB35" s="299">
        <f>NCong!M162</f>
        <v>86697</v>
      </c>
      <c r="AC35" s="297">
        <f>NCong!N104</f>
        <v>0</v>
      </c>
      <c r="AD35" s="297">
        <f t="shared" si="25"/>
        <v>0</v>
      </c>
      <c r="AE35" s="297">
        <f t="shared" si="26"/>
        <v>0</v>
      </c>
      <c r="AF35" s="297">
        <f>NCong!Q104*1.3</f>
        <v>0</v>
      </c>
      <c r="AG35" s="297">
        <f>NCong!R104*1.3</f>
        <v>0</v>
      </c>
      <c r="AH35" s="297">
        <f t="shared" si="18"/>
        <v>86697</v>
      </c>
      <c r="AI35" s="297">
        <f t="shared" si="19"/>
        <v>13004.55</v>
      </c>
      <c r="AJ35" s="297">
        <f t="shared" si="20"/>
        <v>99701.55</v>
      </c>
      <c r="AK35" s="297">
        <f>NCong!P162</f>
        <v>6646.77</v>
      </c>
      <c r="AL35" s="298">
        <f>NCong!S162</f>
        <v>7300.0000000000009</v>
      </c>
    </row>
    <row r="36" spans="1:38" s="88" customFormat="1" ht="13.5">
      <c r="A36" s="1035" t="s">
        <v>663</v>
      </c>
      <c r="B36" s="1030" t="str">
        <f t="shared" ref="B36:G36" si="30">B35</f>
        <v>II.2</v>
      </c>
      <c r="C36" s="295" t="str">
        <f t="shared" si="30"/>
        <v>CÁC NỘI DUNG THỰC HIỆN TẠI ĐỊA BÀN CẤP TỈNH</v>
      </c>
      <c r="D36" s="296">
        <f t="shared" si="30"/>
        <v>0</v>
      </c>
      <c r="E36" s="296">
        <f t="shared" si="30"/>
        <v>0</v>
      </c>
      <c r="F36" s="297">
        <f t="shared" si="30"/>
        <v>66690</v>
      </c>
      <c r="G36" s="297">
        <f t="shared" si="30"/>
        <v>0</v>
      </c>
      <c r="H36" s="297"/>
      <c r="I36" s="297"/>
      <c r="J36" s="297"/>
      <c r="K36" s="297"/>
      <c r="L36" s="297">
        <f>SUM(F36:K36)</f>
        <v>66690</v>
      </c>
      <c r="M36" s="297">
        <f>L36*15%</f>
        <v>10003.5</v>
      </c>
      <c r="N36" s="297">
        <f>L36+M36</f>
        <v>76693.5</v>
      </c>
      <c r="O36" s="297">
        <f>O35</f>
        <v>5112.9000000000005</v>
      </c>
      <c r="P36" s="298">
        <f>P35</f>
        <v>5615.3846153846162</v>
      </c>
      <c r="Q36" s="299">
        <f>Q35</f>
        <v>66690</v>
      </c>
      <c r="R36" s="297">
        <f>R35</f>
        <v>0</v>
      </c>
      <c r="S36" s="297"/>
      <c r="T36" s="297"/>
      <c r="U36" s="297"/>
      <c r="V36" s="297"/>
      <c r="W36" s="297">
        <f>SUM(Q36:V36)</f>
        <v>66690</v>
      </c>
      <c r="X36" s="297">
        <f>W36*15%</f>
        <v>10003.5</v>
      </c>
      <c r="Y36" s="297">
        <f>W36+X36</f>
        <v>76693.5</v>
      </c>
      <c r="Z36" s="297">
        <f>Z35</f>
        <v>5112.9000000000005</v>
      </c>
      <c r="AA36" s="298">
        <f>AA35</f>
        <v>5615.3846153846162</v>
      </c>
      <c r="AB36" s="299">
        <f>AB35</f>
        <v>86697</v>
      </c>
      <c r="AC36" s="297">
        <f>AC35</f>
        <v>0</v>
      </c>
      <c r="AD36" s="297"/>
      <c r="AE36" s="297"/>
      <c r="AF36" s="297"/>
      <c r="AG36" s="297"/>
      <c r="AH36" s="297">
        <f>SUM(AB36:AG36)</f>
        <v>86697</v>
      </c>
      <c r="AI36" s="297">
        <f>AH36*15%</f>
        <v>13004.55</v>
      </c>
      <c r="AJ36" s="297">
        <f>AH36+AI36</f>
        <v>99701.55</v>
      </c>
      <c r="AK36" s="297">
        <f>AK35</f>
        <v>6646.77</v>
      </c>
      <c r="AL36" s="298">
        <f>AL35</f>
        <v>7300.0000000000009</v>
      </c>
    </row>
    <row r="37" spans="1:38" ht="18" customHeight="1">
      <c r="A37" s="1632" t="s">
        <v>110</v>
      </c>
      <c r="B37" s="1596" t="str">
        <f>NCong!A173</f>
        <v>III</v>
      </c>
      <c r="C37" s="1604" t="str">
        <f>NCong!B173</f>
        <v>Định mức lao động đăng ký, cấp Giấy chứng nhận lần đầu đối với tổ chức (trừ trường hợp thuộc thẩm quyền quyết định của UBND xã, phường), tổ chức tôn giáo, tổ chức tôn giáo trực thuộc đang sử dụng đất</v>
      </c>
      <c r="D37" s="302"/>
      <c r="E37" s="302"/>
      <c r="F37" s="1598" t="s">
        <v>516</v>
      </c>
      <c r="G37" s="1599"/>
      <c r="H37" s="1599"/>
      <c r="I37" s="1599"/>
      <c r="J37" s="1599"/>
      <c r="K37" s="1599"/>
      <c r="L37" s="1599"/>
      <c r="M37" s="1599"/>
      <c r="N37" s="1600"/>
      <c r="O37" s="324"/>
      <c r="P37" s="303"/>
      <c r="Q37" s="1601" t="s">
        <v>517</v>
      </c>
      <c r="R37" s="1599"/>
      <c r="S37" s="1599"/>
      <c r="T37" s="1599"/>
      <c r="U37" s="1599"/>
      <c r="V37" s="1599"/>
      <c r="W37" s="1599"/>
      <c r="X37" s="1599"/>
      <c r="Y37" s="1600"/>
      <c r="Z37" s="324"/>
      <c r="AA37" s="303"/>
      <c r="AB37" s="1601" t="s">
        <v>518</v>
      </c>
      <c r="AC37" s="1599"/>
      <c r="AD37" s="1599"/>
      <c r="AE37" s="1599"/>
      <c r="AF37" s="1599"/>
      <c r="AG37" s="1599"/>
      <c r="AH37" s="1599"/>
      <c r="AI37" s="1599"/>
      <c r="AJ37" s="1600"/>
      <c r="AK37" s="324"/>
      <c r="AL37" s="303"/>
    </row>
    <row r="38" spans="1:38" s="86" customFormat="1" ht="15" customHeight="1">
      <c r="A38" s="1632"/>
      <c r="B38" s="1624"/>
      <c r="C38" s="1627"/>
      <c r="D38" s="1610" t="s">
        <v>53</v>
      </c>
      <c r="E38" s="276">
        <v>1</v>
      </c>
      <c r="F38" s="141">
        <f t="shared" ref="F38:K40" si="31">F41+F$47</f>
        <v>2291325.0165000004</v>
      </c>
      <c r="G38" s="141">
        <f t="shared" si="31"/>
        <v>0</v>
      </c>
      <c r="H38" s="141">
        <f t="shared" si="31"/>
        <v>15128.12688647436</v>
      </c>
      <c r="I38" s="141">
        <f t="shared" si="31"/>
        <v>21051</v>
      </c>
      <c r="J38" s="141">
        <f t="shared" si="31"/>
        <v>23841.524799999999</v>
      </c>
      <c r="K38" s="141">
        <f t="shared" si="31"/>
        <v>38427.881992500006</v>
      </c>
      <c r="L38" s="141">
        <f>SUM(F38:K38)</f>
        <v>2389773.5501789744</v>
      </c>
      <c r="M38" s="141">
        <f>L38*15%</f>
        <v>358466.03252684616</v>
      </c>
      <c r="N38" s="141">
        <f>L38+M38</f>
        <v>2748239.5827058204</v>
      </c>
      <c r="O38" s="141">
        <f>O41+O$47</f>
        <v>189586.33199999999</v>
      </c>
      <c r="P38" s="142"/>
      <c r="Q38" s="279">
        <f t="shared" ref="Q38:V40" si="32">Q41+Q$47</f>
        <v>2199959.7165000001</v>
      </c>
      <c r="R38" s="141">
        <f t="shared" si="32"/>
        <v>0</v>
      </c>
      <c r="S38" s="141">
        <f t="shared" si="32"/>
        <v>15128.12688647436</v>
      </c>
      <c r="T38" s="141">
        <f t="shared" si="32"/>
        <v>21051</v>
      </c>
      <c r="U38" s="141">
        <f t="shared" si="32"/>
        <v>23841.524799999999</v>
      </c>
      <c r="V38" s="141">
        <f t="shared" si="32"/>
        <v>38427.881992500006</v>
      </c>
      <c r="W38" s="141">
        <f>SUM(Q38:V38)</f>
        <v>2298408.2501789741</v>
      </c>
      <c r="X38" s="141">
        <f>W38*15%</f>
        <v>344761.23752684612</v>
      </c>
      <c r="Y38" s="141">
        <f>W38+X38</f>
        <v>2643169.4877058202</v>
      </c>
      <c r="Z38" s="141">
        <f>Z41+Z$47</f>
        <v>182581.65899999999</v>
      </c>
      <c r="AA38" s="142"/>
      <c r="AB38" s="279">
        <f t="shared" ref="AB38:AG40" si="33">AB41+AB$47</f>
        <v>2938671.5085000005</v>
      </c>
      <c r="AC38" s="141">
        <f t="shared" si="33"/>
        <v>0</v>
      </c>
      <c r="AD38" s="141">
        <f t="shared" si="33"/>
        <v>19666.564952416669</v>
      </c>
      <c r="AE38" s="141">
        <f t="shared" si="33"/>
        <v>21051</v>
      </c>
      <c r="AF38" s="141">
        <f t="shared" si="33"/>
        <v>23841.524799999999</v>
      </c>
      <c r="AG38" s="141">
        <f t="shared" si="33"/>
        <v>38427.881992500006</v>
      </c>
      <c r="AH38" s="141">
        <f>SUM(AB38:AG38)</f>
        <v>3041658.4802449169</v>
      </c>
      <c r="AI38" s="141">
        <f>AH38*15%</f>
        <v>456248.77203673753</v>
      </c>
      <c r="AJ38" s="141">
        <f>AH38+AI38</f>
        <v>3497907.2522816546</v>
      </c>
      <c r="AK38" s="141">
        <f>AK41+AK$47</f>
        <v>243195.08849999995</v>
      </c>
      <c r="AL38" s="142"/>
    </row>
    <row r="39" spans="1:38" s="86" customFormat="1" ht="15" customHeight="1">
      <c r="A39" s="1632"/>
      <c r="B39" s="1624"/>
      <c r="C39" s="1627"/>
      <c r="D39" s="1610"/>
      <c r="E39" s="275" t="s">
        <v>34</v>
      </c>
      <c r="F39" s="141">
        <f t="shared" si="31"/>
        <v>2348344.9665000001</v>
      </c>
      <c r="G39" s="131">
        <f t="shared" si="31"/>
        <v>0</v>
      </c>
      <c r="H39" s="131">
        <f t="shared" si="31"/>
        <v>15128.12688647436</v>
      </c>
      <c r="I39" s="131">
        <f t="shared" si="31"/>
        <v>21051</v>
      </c>
      <c r="J39" s="131">
        <f t="shared" si="31"/>
        <v>23841.524799999999</v>
      </c>
      <c r="K39" s="131">
        <f t="shared" si="31"/>
        <v>38427.881992500006</v>
      </c>
      <c r="L39" s="131">
        <f>SUM(F39:K39)</f>
        <v>2446793.5001789741</v>
      </c>
      <c r="M39" s="131">
        <f t="shared" ref="M39:M47" si="34">L39*15%</f>
        <v>367019.02502684609</v>
      </c>
      <c r="N39" s="131">
        <f t="shared" ref="N39:N47" si="35">L39+M39</f>
        <v>2813812.5252058203</v>
      </c>
      <c r="O39" s="131">
        <f>O42+O$47</f>
        <v>114247.75049999998</v>
      </c>
      <c r="P39" s="139"/>
      <c r="Q39" s="277">
        <f t="shared" si="32"/>
        <v>2256979.6665000003</v>
      </c>
      <c r="R39" s="131">
        <f t="shared" si="32"/>
        <v>0</v>
      </c>
      <c r="S39" s="131">
        <f t="shared" si="32"/>
        <v>15128.12688647436</v>
      </c>
      <c r="T39" s="131">
        <f t="shared" si="32"/>
        <v>21051</v>
      </c>
      <c r="U39" s="131">
        <f t="shared" si="32"/>
        <v>23841.524799999999</v>
      </c>
      <c r="V39" s="131">
        <f t="shared" si="32"/>
        <v>38427.881992500006</v>
      </c>
      <c r="W39" s="131">
        <f>SUM(Q39:V39)</f>
        <v>2355428.2001789743</v>
      </c>
      <c r="X39" s="131">
        <f t="shared" ref="X39:X47" si="36">W39*15%</f>
        <v>353314.23002684611</v>
      </c>
      <c r="Y39" s="131">
        <f t="shared" ref="Y39:Y47" si="37">W39+X39</f>
        <v>2708742.4302058206</v>
      </c>
      <c r="Z39" s="131">
        <f>Z42+Z$47</f>
        <v>109134.85049999999</v>
      </c>
      <c r="AA39" s="139"/>
      <c r="AB39" s="277">
        <f t="shared" si="33"/>
        <v>3012797.4435000001</v>
      </c>
      <c r="AC39" s="131">
        <f t="shared" si="33"/>
        <v>0</v>
      </c>
      <c r="AD39" s="131">
        <f t="shared" si="33"/>
        <v>19666.564952416669</v>
      </c>
      <c r="AE39" s="131">
        <f t="shared" si="33"/>
        <v>21051</v>
      </c>
      <c r="AF39" s="131">
        <f t="shared" si="33"/>
        <v>23841.524799999999</v>
      </c>
      <c r="AG39" s="131">
        <f t="shared" si="33"/>
        <v>38427.881992500006</v>
      </c>
      <c r="AH39" s="131">
        <f>SUM(AB39:AG39)</f>
        <v>3115784.4152449165</v>
      </c>
      <c r="AI39" s="131">
        <f t="shared" ref="AI39:AI47" si="38">AH39*15%</f>
        <v>467367.66228673747</v>
      </c>
      <c r="AJ39" s="131">
        <f t="shared" ref="AJ39:AJ47" si="39">AH39+AI39</f>
        <v>3583152.0775316539</v>
      </c>
      <c r="AK39" s="131">
        <f>AK42+AK$47</f>
        <v>145308.61799999996</v>
      </c>
      <c r="AL39" s="139"/>
    </row>
    <row r="40" spans="1:38" s="86" customFormat="1" ht="15" customHeight="1">
      <c r="A40" s="1632"/>
      <c r="B40" s="1624"/>
      <c r="C40" s="1627"/>
      <c r="D40" s="1610"/>
      <c r="E40" s="275" t="s">
        <v>35</v>
      </c>
      <c r="F40" s="141">
        <f t="shared" si="31"/>
        <v>2411066.9115000004</v>
      </c>
      <c r="G40" s="131">
        <f t="shared" si="31"/>
        <v>0</v>
      </c>
      <c r="H40" s="131">
        <f t="shared" si="31"/>
        <v>15128.12688647436</v>
      </c>
      <c r="I40" s="131">
        <f t="shared" si="31"/>
        <v>21051</v>
      </c>
      <c r="J40" s="131">
        <f t="shared" si="31"/>
        <v>23841.524799999999</v>
      </c>
      <c r="K40" s="131">
        <f t="shared" si="31"/>
        <v>38427.881992500006</v>
      </c>
      <c r="L40" s="131">
        <f>SUM(F40:K40)</f>
        <v>2509515.4451789744</v>
      </c>
      <c r="M40" s="131">
        <f t="shared" si="34"/>
        <v>376427.31677684613</v>
      </c>
      <c r="N40" s="131">
        <f t="shared" si="35"/>
        <v>2885942.7619558205</v>
      </c>
      <c r="O40" s="131">
        <f>O43+O$47</f>
        <v>114247.75049999998</v>
      </c>
      <c r="P40" s="139"/>
      <c r="Q40" s="277">
        <f t="shared" si="32"/>
        <v>2319701.6115000001</v>
      </c>
      <c r="R40" s="131">
        <f t="shared" si="32"/>
        <v>0</v>
      </c>
      <c r="S40" s="131">
        <f t="shared" si="32"/>
        <v>15128.12688647436</v>
      </c>
      <c r="T40" s="131">
        <f t="shared" si="32"/>
        <v>21051</v>
      </c>
      <c r="U40" s="131">
        <f t="shared" si="32"/>
        <v>23841.524799999999</v>
      </c>
      <c r="V40" s="131">
        <f t="shared" si="32"/>
        <v>38427.881992500006</v>
      </c>
      <c r="W40" s="131">
        <f>SUM(Q40:V40)</f>
        <v>2418150.1451789741</v>
      </c>
      <c r="X40" s="131">
        <f t="shared" si="36"/>
        <v>362722.52177684609</v>
      </c>
      <c r="Y40" s="131">
        <f t="shared" si="37"/>
        <v>2780872.6669558203</v>
      </c>
      <c r="Z40" s="131">
        <f>Z43+Z$47</f>
        <v>109134.85049999999</v>
      </c>
      <c r="AA40" s="139"/>
      <c r="AB40" s="277">
        <f t="shared" si="33"/>
        <v>3094335.9720000001</v>
      </c>
      <c r="AC40" s="131">
        <f t="shared" si="33"/>
        <v>0</v>
      </c>
      <c r="AD40" s="131">
        <f t="shared" si="33"/>
        <v>19666.564952416669</v>
      </c>
      <c r="AE40" s="131">
        <f t="shared" si="33"/>
        <v>21051</v>
      </c>
      <c r="AF40" s="131">
        <f t="shared" si="33"/>
        <v>23841.524799999999</v>
      </c>
      <c r="AG40" s="131">
        <f t="shared" si="33"/>
        <v>38427.881992500006</v>
      </c>
      <c r="AH40" s="131">
        <f>SUM(AB40:AG40)</f>
        <v>3197322.9437449165</v>
      </c>
      <c r="AI40" s="131">
        <f t="shared" si="38"/>
        <v>479598.44156173745</v>
      </c>
      <c r="AJ40" s="131">
        <f t="shared" si="39"/>
        <v>3676921.385306654</v>
      </c>
      <c r="AK40" s="131">
        <f>AK43+AK$47</f>
        <v>145308.61799999996</v>
      </c>
      <c r="AL40" s="139"/>
    </row>
    <row r="41" spans="1:38" s="88" customFormat="1" ht="13.5">
      <c r="A41" s="1612" t="s">
        <v>126</v>
      </c>
      <c r="B41" s="1602" t="str">
        <f>NCong!A174</f>
        <v>III.1</v>
      </c>
      <c r="C41" s="1603" t="str">
        <f>NCong!B174</f>
        <v>CÁC NỘI DUNG THỰC HIỆN TẠI ĐỊA BÀN XÃ, PHƯỜNG</v>
      </c>
      <c r="D41" s="1608" t="s">
        <v>53</v>
      </c>
      <c r="E41" s="288">
        <f>NCong!F174</f>
        <v>1</v>
      </c>
      <c r="F41" s="290">
        <f>NCong!K174-F$45</f>
        <v>855165.87</v>
      </c>
      <c r="G41" s="290"/>
      <c r="H41" s="290">
        <f>Dcu!L$101</f>
        <v>15128.12688647436</v>
      </c>
      <c r="I41" s="290">
        <f>VLieu!J$68</f>
        <v>21051</v>
      </c>
      <c r="J41" s="290">
        <f>Tbi!I$59</f>
        <v>23841.524799999999</v>
      </c>
      <c r="K41" s="290">
        <f>Tbi!I$66+Dcu!L$100</f>
        <v>38427.881992500006</v>
      </c>
      <c r="L41" s="290">
        <f t="shared" ref="L41:L47" si="40">SUM(F41:K41)</f>
        <v>953614.40367897437</v>
      </c>
      <c r="M41" s="290">
        <f t="shared" si="34"/>
        <v>143042.16055184614</v>
      </c>
      <c r="N41" s="290">
        <f t="shared" si="35"/>
        <v>1096656.5642308206</v>
      </c>
      <c r="O41" s="290">
        <f>NCong!N174-O$45</f>
        <v>75338.581500000015</v>
      </c>
      <c r="P41" s="291"/>
      <c r="Q41" s="300">
        <f>NCong!L174-Q$45</f>
        <v>830490.57</v>
      </c>
      <c r="R41" s="290"/>
      <c r="S41" s="290">
        <f>H41</f>
        <v>15128.12688647436</v>
      </c>
      <c r="T41" s="290">
        <f t="shared" ref="T41:V43" si="41">I41</f>
        <v>21051</v>
      </c>
      <c r="U41" s="290">
        <f t="shared" si="41"/>
        <v>23841.524799999999</v>
      </c>
      <c r="V41" s="290">
        <f t="shared" si="41"/>
        <v>38427.881992500006</v>
      </c>
      <c r="W41" s="290">
        <f t="shared" ref="W41:W47" si="42">SUM(Q41:V41)</f>
        <v>928939.10367897432</v>
      </c>
      <c r="X41" s="290">
        <f t="shared" si="36"/>
        <v>139340.86555184613</v>
      </c>
      <c r="Y41" s="290">
        <f t="shared" si="37"/>
        <v>1068279.9692308204</v>
      </c>
      <c r="Z41" s="290">
        <f>NCong!O174-Z$45</f>
        <v>73446.808500000014</v>
      </c>
      <c r="AA41" s="291"/>
      <c r="AB41" s="300">
        <f>NCong!M174-AB$45</f>
        <v>1112115.7709999999</v>
      </c>
      <c r="AC41" s="290"/>
      <c r="AD41" s="290">
        <f>H41*1.3</f>
        <v>19666.564952416669</v>
      </c>
      <c r="AE41" s="290">
        <f t="shared" ref="AE41:AG43" si="43">I41</f>
        <v>21051</v>
      </c>
      <c r="AF41" s="290">
        <f t="shared" si="43"/>
        <v>23841.524799999999</v>
      </c>
      <c r="AG41" s="290">
        <f t="shared" si="43"/>
        <v>38427.881992500006</v>
      </c>
      <c r="AH41" s="290">
        <f t="shared" ref="AH41:AH47" si="44">SUM(AB41:AG41)</f>
        <v>1215102.7427449166</v>
      </c>
      <c r="AI41" s="290">
        <f t="shared" si="38"/>
        <v>182265.41141173747</v>
      </c>
      <c r="AJ41" s="290">
        <f t="shared" si="39"/>
        <v>1397368.1541566541</v>
      </c>
      <c r="AK41" s="290">
        <f>NCong!P174-AK$45</f>
        <v>97886.47050000001</v>
      </c>
      <c r="AL41" s="291"/>
    </row>
    <row r="42" spans="1:38" s="88" customFormat="1" ht="15" customHeight="1">
      <c r="A42" s="1612"/>
      <c r="B42" s="1602"/>
      <c r="C42" s="1603"/>
      <c r="D42" s="1609"/>
      <c r="E42" s="288">
        <f>NCong!F176</f>
        <v>2</v>
      </c>
      <c r="F42" s="290">
        <f>NCong!K176-F$45</f>
        <v>912185.82000000007</v>
      </c>
      <c r="G42" s="290"/>
      <c r="H42" s="290">
        <f>Dcu!L$101</f>
        <v>15128.12688647436</v>
      </c>
      <c r="I42" s="290">
        <f>VLieu!J$68</f>
        <v>21051</v>
      </c>
      <c r="J42" s="290">
        <f>Tbi!I$59</f>
        <v>23841.524799999999</v>
      </c>
      <c r="K42" s="290">
        <f>Tbi!I$66+Dcu!L$100</f>
        <v>38427.881992500006</v>
      </c>
      <c r="L42" s="290">
        <f t="shared" si="40"/>
        <v>1010634.3536789744</v>
      </c>
      <c r="M42" s="290">
        <f t="shared" si="34"/>
        <v>151595.15305184617</v>
      </c>
      <c r="N42" s="290">
        <f t="shared" si="35"/>
        <v>1162229.5067308205</v>
      </c>
      <c r="O42" s="290">
        <f>NCong!N176-O$45</f>
        <v>0</v>
      </c>
      <c r="P42" s="291"/>
      <c r="Q42" s="300">
        <f>NCong!L176-Q$45</f>
        <v>887510.52000000014</v>
      </c>
      <c r="R42" s="290"/>
      <c r="S42" s="290">
        <f>H42</f>
        <v>15128.12688647436</v>
      </c>
      <c r="T42" s="290">
        <f t="shared" si="41"/>
        <v>21051</v>
      </c>
      <c r="U42" s="290">
        <f t="shared" si="41"/>
        <v>23841.524799999999</v>
      </c>
      <c r="V42" s="290">
        <f t="shared" si="41"/>
        <v>38427.881992500006</v>
      </c>
      <c r="W42" s="290">
        <f t="shared" si="42"/>
        <v>985959.05367897451</v>
      </c>
      <c r="X42" s="290">
        <f t="shared" si="36"/>
        <v>147893.85805184618</v>
      </c>
      <c r="Y42" s="290">
        <f t="shared" si="37"/>
        <v>1133852.9117308208</v>
      </c>
      <c r="Z42" s="290">
        <f>NCong!O176-Z$45</f>
        <v>0</v>
      </c>
      <c r="AA42" s="291"/>
      <c r="AB42" s="300">
        <f>NCong!M176-AB$45</f>
        <v>1186241.7059999998</v>
      </c>
      <c r="AC42" s="290"/>
      <c r="AD42" s="290">
        <f>H42*1.3</f>
        <v>19666.564952416669</v>
      </c>
      <c r="AE42" s="290">
        <f t="shared" si="43"/>
        <v>21051</v>
      </c>
      <c r="AF42" s="290">
        <f t="shared" si="43"/>
        <v>23841.524799999999</v>
      </c>
      <c r="AG42" s="290">
        <f t="shared" si="43"/>
        <v>38427.881992500006</v>
      </c>
      <c r="AH42" s="290">
        <f t="shared" si="44"/>
        <v>1289228.6777449164</v>
      </c>
      <c r="AI42" s="290">
        <f t="shared" si="38"/>
        <v>193384.30166173747</v>
      </c>
      <c r="AJ42" s="290">
        <f t="shared" si="39"/>
        <v>1482612.9794066539</v>
      </c>
      <c r="AK42" s="290">
        <f>NCong!P176-AK$45</f>
        <v>0</v>
      </c>
      <c r="AL42" s="291"/>
    </row>
    <row r="43" spans="1:38" s="88" customFormat="1" ht="15" customHeight="1">
      <c r="A43" s="1612"/>
      <c r="B43" s="1602"/>
      <c r="C43" s="1603"/>
      <c r="D43" s="1609"/>
      <c r="E43" s="288">
        <f>NCong!F178</f>
        <v>3</v>
      </c>
      <c r="F43" s="290">
        <f>NCong!K178-F$45</f>
        <v>974907.76500000001</v>
      </c>
      <c r="G43" s="290"/>
      <c r="H43" s="290">
        <f>Dcu!L$101</f>
        <v>15128.12688647436</v>
      </c>
      <c r="I43" s="290">
        <f>VLieu!J$68</f>
        <v>21051</v>
      </c>
      <c r="J43" s="290">
        <f>Tbi!I$59</f>
        <v>23841.524799999999</v>
      </c>
      <c r="K43" s="290">
        <f>Tbi!I$66+Dcu!L$100</f>
        <v>38427.881992500006</v>
      </c>
      <c r="L43" s="290">
        <f t="shared" si="40"/>
        <v>1073356.2986789744</v>
      </c>
      <c r="M43" s="290">
        <f t="shared" si="34"/>
        <v>161003.44480184614</v>
      </c>
      <c r="N43" s="290">
        <f t="shared" si="35"/>
        <v>1234359.7434808204</v>
      </c>
      <c r="O43" s="290">
        <f>NCong!N178-O$45</f>
        <v>0</v>
      </c>
      <c r="P43" s="291"/>
      <c r="Q43" s="300">
        <f>NCong!L178-Q$45</f>
        <v>950232.46499999997</v>
      </c>
      <c r="R43" s="290"/>
      <c r="S43" s="290">
        <f>H43</f>
        <v>15128.12688647436</v>
      </c>
      <c r="T43" s="290">
        <f t="shared" si="41"/>
        <v>21051</v>
      </c>
      <c r="U43" s="290">
        <f t="shared" si="41"/>
        <v>23841.524799999999</v>
      </c>
      <c r="V43" s="290">
        <f t="shared" si="41"/>
        <v>38427.881992500006</v>
      </c>
      <c r="W43" s="290">
        <f t="shared" si="42"/>
        <v>1048680.9986789743</v>
      </c>
      <c r="X43" s="290">
        <f t="shared" si="36"/>
        <v>157302.14980184616</v>
      </c>
      <c r="Y43" s="290">
        <f t="shared" si="37"/>
        <v>1205983.1484808205</v>
      </c>
      <c r="Z43" s="290">
        <f>NCong!O178-Z$45</f>
        <v>0</v>
      </c>
      <c r="AA43" s="291"/>
      <c r="AB43" s="300">
        <f>NCong!M178-AB$45</f>
        <v>1267780.2344999998</v>
      </c>
      <c r="AC43" s="290"/>
      <c r="AD43" s="290">
        <f>H43*1.3</f>
        <v>19666.564952416669</v>
      </c>
      <c r="AE43" s="290">
        <f t="shared" si="43"/>
        <v>21051</v>
      </c>
      <c r="AF43" s="290">
        <f t="shared" si="43"/>
        <v>23841.524799999999</v>
      </c>
      <c r="AG43" s="290">
        <f t="shared" si="43"/>
        <v>38427.881992500006</v>
      </c>
      <c r="AH43" s="290">
        <f t="shared" si="44"/>
        <v>1370767.2062449164</v>
      </c>
      <c r="AI43" s="290">
        <f t="shared" si="38"/>
        <v>205615.08093673745</v>
      </c>
      <c r="AJ43" s="290">
        <f t="shared" si="39"/>
        <v>1576382.2871816538</v>
      </c>
      <c r="AK43" s="290">
        <f>NCong!P178-AK$45</f>
        <v>0</v>
      </c>
      <c r="AL43" s="291"/>
    </row>
    <row r="44" spans="1:38" hidden="1">
      <c r="A44" s="523"/>
      <c r="B44" s="1029"/>
      <c r="C44" s="80"/>
      <c r="D44" s="78"/>
      <c r="E44" s="78"/>
      <c r="F44" s="95">
        <v>0</v>
      </c>
      <c r="G44" s="95"/>
      <c r="H44" s="95"/>
      <c r="I44" s="95"/>
      <c r="J44" s="95"/>
      <c r="K44" s="95"/>
      <c r="L44" s="95">
        <f t="shared" si="40"/>
        <v>0</v>
      </c>
      <c r="M44" s="95">
        <f t="shared" si="34"/>
        <v>0</v>
      </c>
      <c r="N44" s="95">
        <f t="shared" si="35"/>
        <v>0</v>
      </c>
      <c r="O44" s="95"/>
      <c r="P44" s="96"/>
      <c r="Q44" s="278"/>
      <c r="R44" s="95"/>
      <c r="S44" s="95"/>
      <c r="T44" s="95"/>
      <c r="U44" s="95"/>
      <c r="V44" s="95"/>
      <c r="W44" s="95">
        <f t="shared" si="42"/>
        <v>0</v>
      </c>
      <c r="X44" s="95">
        <f t="shared" si="36"/>
        <v>0</v>
      </c>
      <c r="Y44" s="95">
        <f t="shared" si="37"/>
        <v>0</v>
      </c>
      <c r="Z44" s="95"/>
      <c r="AA44" s="96"/>
      <c r="AB44" s="278"/>
      <c r="AC44" s="95"/>
      <c r="AD44" s="95"/>
      <c r="AE44" s="95"/>
      <c r="AF44" s="95"/>
      <c r="AG44" s="95"/>
      <c r="AH44" s="95">
        <f t="shared" si="44"/>
        <v>0</v>
      </c>
      <c r="AI44" s="95">
        <f t="shared" si="38"/>
        <v>0</v>
      </c>
      <c r="AJ44" s="95">
        <f t="shared" si="39"/>
        <v>0</v>
      </c>
      <c r="AK44" s="95"/>
      <c r="AL44" s="96"/>
    </row>
    <row r="45" spans="1:38" s="111" customFormat="1" hidden="1">
      <c r="A45" s="526"/>
      <c r="B45" s="1031"/>
      <c r="C45" s="124"/>
      <c r="D45" s="123"/>
      <c r="E45" s="908" t="s">
        <v>32</v>
      </c>
      <c r="F45" s="93">
        <v>0</v>
      </c>
      <c r="G45" s="93"/>
      <c r="H45" s="93"/>
      <c r="I45" s="93"/>
      <c r="J45" s="93"/>
      <c r="K45" s="93"/>
      <c r="L45" s="93">
        <f t="shared" si="40"/>
        <v>0</v>
      </c>
      <c r="M45" s="93">
        <f t="shared" si="34"/>
        <v>0</v>
      </c>
      <c r="N45" s="93">
        <f t="shared" si="35"/>
        <v>0</v>
      </c>
      <c r="O45" s="93"/>
      <c r="P45" s="94"/>
      <c r="Q45" s="304"/>
      <c r="R45" s="93"/>
      <c r="S45" s="93"/>
      <c r="T45" s="93"/>
      <c r="U45" s="93"/>
      <c r="V45" s="93"/>
      <c r="W45" s="93">
        <f t="shared" si="42"/>
        <v>0</v>
      </c>
      <c r="X45" s="93">
        <f t="shared" si="36"/>
        <v>0</v>
      </c>
      <c r="Y45" s="93">
        <f t="shared" si="37"/>
        <v>0</v>
      </c>
      <c r="Z45" s="93"/>
      <c r="AA45" s="94"/>
      <c r="AB45" s="304"/>
      <c r="AC45" s="93"/>
      <c r="AD45" s="93"/>
      <c r="AE45" s="93"/>
      <c r="AF45" s="93"/>
      <c r="AG45" s="93"/>
      <c r="AH45" s="93">
        <f t="shared" si="44"/>
        <v>0</v>
      </c>
      <c r="AI45" s="93">
        <f t="shared" si="38"/>
        <v>0</v>
      </c>
      <c r="AJ45" s="93">
        <f t="shared" si="39"/>
        <v>0</v>
      </c>
      <c r="AK45" s="93"/>
      <c r="AL45" s="94"/>
    </row>
    <row r="46" spans="1:38" s="111" customFormat="1" hidden="1">
      <c r="A46" s="526"/>
      <c r="B46" s="1031"/>
      <c r="C46" s="124"/>
      <c r="D46" s="123"/>
      <c r="E46" s="908" t="s">
        <v>32</v>
      </c>
      <c r="F46" s="93">
        <v>0</v>
      </c>
      <c r="G46" s="93"/>
      <c r="H46" s="93"/>
      <c r="I46" s="93"/>
      <c r="J46" s="93"/>
      <c r="K46" s="93"/>
      <c r="L46" s="93">
        <f t="shared" si="40"/>
        <v>0</v>
      </c>
      <c r="M46" s="93">
        <f t="shared" si="34"/>
        <v>0</v>
      </c>
      <c r="N46" s="93">
        <f t="shared" si="35"/>
        <v>0</v>
      </c>
      <c r="O46" s="93"/>
      <c r="P46" s="94"/>
      <c r="Q46" s="304"/>
      <c r="R46" s="93"/>
      <c r="S46" s="93"/>
      <c r="T46" s="93"/>
      <c r="U46" s="93"/>
      <c r="V46" s="93"/>
      <c r="W46" s="93">
        <f t="shared" si="42"/>
        <v>0</v>
      </c>
      <c r="X46" s="93">
        <f t="shared" si="36"/>
        <v>0</v>
      </c>
      <c r="Y46" s="93">
        <f t="shared" si="37"/>
        <v>0</v>
      </c>
      <c r="Z46" s="93"/>
      <c r="AA46" s="94"/>
      <c r="AB46" s="304"/>
      <c r="AC46" s="93"/>
      <c r="AD46" s="93"/>
      <c r="AE46" s="93"/>
      <c r="AF46" s="93"/>
      <c r="AG46" s="93"/>
      <c r="AH46" s="93">
        <f t="shared" si="44"/>
        <v>0</v>
      </c>
      <c r="AI46" s="93">
        <f t="shared" si="38"/>
        <v>0</v>
      </c>
      <c r="AJ46" s="93">
        <f t="shared" si="39"/>
        <v>0</v>
      </c>
      <c r="AK46" s="93"/>
      <c r="AL46" s="94"/>
    </row>
    <row r="47" spans="1:38" s="88" customFormat="1" ht="21.75" customHeight="1">
      <c r="A47" s="1035" t="s">
        <v>127</v>
      </c>
      <c r="B47" s="1028" t="str">
        <f>NCong!A198</f>
        <v>III.2</v>
      </c>
      <c r="C47" s="293" t="str">
        <f>NCong!B198</f>
        <v>CÁC NỘI DUNG THỰC HIỆN TẠI ĐỊA BÀN CẤP TỈNH</v>
      </c>
      <c r="D47" s="288" t="s">
        <v>53</v>
      </c>
      <c r="E47" s="908" t="s">
        <v>32</v>
      </c>
      <c r="F47" s="290">
        <f>NCong!K198</f>
        <v>1436159.1465000003</v>
      </c>
      <c r="G47" s="290"/>
      <c r="H47" s="290">
        <f>Dcu!K101</f>
        <v>0</v>
      </c>
      <c r="I47" s="290">
        <f>VLieu!I68</f>
        <v>0</v>
      </c>
      <c r="J47" s="290"/>
      <c r="K47" s="290">
        <f>Dcu!K100</f>
        <v>0</v>
      </c>
      <c r="L47" s="305">
        <f t="shared" si="40"/>
        <v>1436159.1465000003</v>
      </c>
      <c r="M47" s="305">
        <f t="shared" si="34"/>
        <v>215423.87197500005</v>
      </c>
      <c r="N47" s="305">
        <f t="shared" si="35"/>
        <v>1651583.0184750003</v>
      </c>
      <c r="O47" s="305">
        <f>NCong!N198</f>
        <v>114247.75049999998</v>
      </c>
      <c r="P47" s="306"/>
      <c r="Q47" s="300">
        <f>NCong!L198</f>
        <v>1369469.1465000003</v>
      </c>
      <c r="R47" s="290"/>
      <c r="S47" s="290"/>
      <c r="T47" s="290"/>
      <c r="U47" s="290"/>
      <c r="V47" s="290"/>
      <c r="W47" s="305">
        <f t="shared" si="42"/>
        <v>1369469.1465000003</v>
      </c>
      <c r="X47" s="305">
        <f t="shared" si="36"/>
        <v>205420.37197500005</v>
      </c>
      <c r="Y47" s="305">
        <f t="shared" si="37"/>
        <v>1574889.5184750003</v>
      </c>
      <c r="Z47" s="305">
        <f>NCong!O198</f>
        <v>109134.85049999999</v>
      </c>
      <c r="AA47" s="306"/>
      <c r="AB47" s="300">
        <f>NCong!M198</f>
        <v>1826555.7375000005</v>
      </c>
      <c r="AC47" s="290"/>
      <c r="AD47" s="290"/>
      <c r="AE47" s="305"/>
      <c r="AF47" s="305"/>
      <c r="AG47" s="305"/>
      <c r="AH47" s="305">
        <f t="shared" si="44"/>
        <v>1826555.7375000005</v>
      </c>
      <c r="AI47" s="305">
        <f t="shared" si="38"/>
        <v>273983.36062500009</v>
      </c>
      <c r="AJ47" s="305">
        <f t="shared" si="39"/>
        <v>2100539.0981250005</v>
      </c>
      <c r="AK47" s="305">
        <f>NCong!P198</f>
        <v>145308.61799999996</v>
      </c>
      <c r="AL47" s="306"/>
    </row>
    <row r="48" spans="1:38" s="86" customFormat="1">
      <c r="A48" s="1431" t="s">
        <v>672</v>
      </c>
      <c r="B48" s="1596" t="s">
        <v>672</v>
      </c>
      <c r="C48" s="1604" t="s">
        <v>706</v>
      </c>
      <c r="D48" s="1606" t="s">
        <v>53</v>
      </c>
      <c r="E48" s="275">
        <v>1</v>
      </c>
      <c r="F48" s="131">
        <f t="shared" ref="F48:K50" si="45">F51+F$63</f>
        <v>626095.65718557697</v>
      </c>
      <c r="G48" s="131">
        <f t="shared" si="45"/>
        <v>409.32692307692309</v>
      </c>
      <c r="H48" s="131">
        <f t="shared" si="45"/>
        <v>6451.4626774153849</v>
      </c>
      <c r="I48" s="131">
        <f t="shared" si="45"/>
        <v>32760.74</v>
      </c>
      <c r="J48" s="131">
        <f t="shared" si="45"/>
        <v>9198.6971999999987</v>
      </c>
      <c r="K48" s="131">
        <f t="shared" si="45"/>
        <v>11710.200001500001</v>
      </c>
      <c r="L48" s="131">
        <f t="shared" ref="L48:L63" si="46">SUM(F48:K48)</f>
        <v>686626.0839875692</v>
      </c>
      <c r="M48" s="131">
        <f t="shared" ref="M48:M63" si="47">$M$6*L48</f>
        <v>102993.91259813537</v>
      </c>
      <c r="N48" s="131">
        <f t="shared" ref="N48:N63" si="48">L48+M48</f>
        <v>789619.99658570462</v>
      </c>
      <c r="O48" s="131">
        <f t="shared" ref="O48:P50" si="49">O51+O$63</f>
        <v>869830.51471875003</v>
      </c>
      <c r="P48" s="139">
        <f t="shared" si="49"/>
        <v>626095.65718557697</v>
      </c>
    </row>
    <row r="49" spans="1:38" s="86" customFormat="1" ht="15" customHeight="1">
      <c r="A49" s="1431"/>
      <c r="B49" s="1624"/>
      <c r="C49" s="1627"/>
      <c r="D49" s="1610"/>
      <c r="E49" s="275">
        <v>2</v>
      </c>
      <c r="F49" s="131">
        <f t="shared" si="45"/>
        <v>626095.65718557697</v>
      </c>
      <c r="G49" s="131">
        <f t="shared" si="45"/>
        <v>409.32692307692309</v>
      </c>
      <c r="H49" s="131">
        <f t="shared" si="45"/>
        <v>7066.4578848461542</v>
      </c>
      <c r="I49" s="131">
        <f t="shared" si="45"/>
        <v>32760.74</v>
      </c>
      <c r="J49" s="131">
        <f t="shared" si="45"/>
        <v>9198.6971999999987</v>
      </c>
      <c r="K49" s="131">
        <f t="shared" si="45"/>
        <v>11710.200001500001</v>
      </c>
      <c r="L49" s="131">
        <f t="shared" si="46"/>
        <v>687241.079195</v>
      </c>
      <c r="M49" s="131">
        <f t="shared" si="47"/>
        <v>103086.16187924999</v>
      </c>
      <c r="N49" s="131">
        <f t="shared" si="48"/>
        <v>790327.24107424996</v>
      </c>
      <c r="O49" s="131">
        <f t="shared" si="49"/>
        <v>869830.51471875003</v>
      </c>
      <c r="P49" s="139">
        <f t="shared" si="49"/>
        <v>626095.65718557697</v>
      </c>
    </row>
    <row r="50" spans="1:38" s="86" customFormat="1" ht="15" customHeight="1">
      <c r="A50" s="1431"/>
      <c r="B50" s="1624"/>
      <c r="C50" s="1627"/>
      <c r="D50" s="1610"/>
      <c r="E50" s="275">
        <v>3</v>
      </c>
      <c r="F50" s="131">
        <f t="shared" si="45"/>
        <v>626095.65718557697</v>
      </c>
      <c r="G50" s="131">
        <f t="shared" si="45"/>
        <v>409.32692307692309</v>
      </c>
      <c r="H50" s="131">
        <f t="shared" si="45"/>
        <v>7681.4530922769245</v>
      </c>
      <c r="I50" s="131">
        <f t="shared" si="45"/>
        <v>32760.74</v>
      </c>
      <c r="J50" s="131">
        <f t="shared" si="45"/>
        <v>9198.6971999999987</v>
      </c>
      <c r="K50" s="131">
        <f t="shared" si="45"/>
        <v>11710.200001500001</v>
      </c>
      <c r="L50" s="131">
        <f t="shared" si="46"/>
        <v>687856.07440243079</v>
      </c>
      <c r="M50" s="131">
        <f t="shared" si="47"/>
        <v>103178.41116036462</v>
      </c>
      <c r="N50" s="131">
        <f t="shared" si="48"/>
        <v>791034.48556279542</v>
      </c>
      <c r="O50" s="131">
        <f t="shared" si="49"/>
        <v>869830.51471875003</v>
      </c>
      <c r="P50" s="139">
        <f t="shared" si="49"/>
        <v>626095.65718557697</v>
      </c>
    </row>
    <row r="51" spans="1:38" s="88" customFormat="1" ht="13.5">
      <c r="A51" s="1612" t="s">
        <v>129</v>
      </c>
      <c r="B51" s="1602" t="str">
        <f>NCong!A230</f>
        <v>IV.1</v>
      </c>
      <c r="C51" s="1603" t="str">
        <f>NCong!B230</f>
        <v>CÁC NỘI DUNG THỰC HIỆN TẠI ĐỊA BÀN XÃ, PHƯỜNG</v>
      </c>
      <c r="D51" s="1628" t="s">
        <v>53</v>
      </c>
      <c r="E51" s="288">
        <f>NCong!F230</f>
        <v>1</v>
      </c>
      <c r="F51" s="290">
        <f>NCong!I230</f>
        <v>598419.22382307693</v>
      </c>
      <c r="G51" s="290">
        <f>NCong!I231</f>
        <v>409.32692307692309</v>
      </c>
      <c r="H51" s="290">
        <f>Dcu!J123</f>
        <v>5534.9568668769234</v>
      </c>
      <c r="I51" s="290">
        <f>VLieu!H$91</f>
        <v>22748.2</v>
      </c>
      <c r="J51" s="290">
        <f>Tbi!$I$69</f>
        <v>6077.8453999999992</v>
      </c>
      <c r="K51" s="290">
        <f>Tbi!$I$77</f>
        <v>6852.4396395000003</v>
      </c>
      <c r="L51" s="290">
        <f t="shared" si="46"/>
        <v>640041.99265253067</v>
      </c>
      <c r="M51" s="290">
        <f t="shared" si="47"/>
        <v>96006.298897879591</v>
      </c>
      <c r="N51" s="290">
        <f t="shared" si="48"/>
        <v>736048.29155041021</v>
      </c>
      <c r="O51" s="290">
        <f>NCong!J230</f>
        <v>865607.57887500001</v>
      </c>
      <c r="P51" s="291">
        <f>NCong!I230</f>
        <v>598419.22382307693</v>
      </c>
    </row>
    <row r="52" spans="1:38" s="88" customFormat="1" ht="15" customHeight="1">
      <c r="A52" s="1612"/>
      <c r="B52" s="1602"/>
      <c r="C52" s="1603"/>
      <c r="D52" s="1628"/>
      <c r="E52" s="288">
        <f>NCong!F232</f>
        <v>2</v>
      </c>
      <c r="F52" s="290">
        <f>NCong!I232</f>
        <v>598419.22382307693</v>
      </c>
      <c r="G52" s="290">
        <f>NCong!I233</f>
        <v>409.32692307692309</v>
      </c>
      <c r="H52" s="290">
        <f>Dcu!J124</f>
        <v>6149.9520743076928</v>
      </c>
      <c r="I52" s="290">
        <f>VLieu!H$91</f>
        <v>22748.2</v>
      </c>
      <c r="J52" s="290">
        <f>Tbi!$I$69</f>
        <v>6077.8453999999992</v>
      </c>
      <c r="K52" s="290">
        <f>Tbi!$I$77</f>
        <v>6852.4396395000003</v>
      </c>
      <c r="L52" s="290">
        <f t="shared" si="46"/>
        <v>640656.98785996146</v>
      </c>
      <c r="M52" s="290">
        <f t="shared" si="47"/>
        <v>96098.548178994213</v>
      </c>
      <c r="N52" s="290">
        <f t="shared" si="48"/>
        <v>736755.53603895567</v>
      </c>
      <c r="O52" s="290">
        <f>NCong!J232</f>
        <v>865607.57887500001</v>
      </c>
      <c r="P52" s="291">
        <f>NCong!I232</f>
        <v>598419.22382307693</v>
      </c>
    </row>
    <row r="53" spans="1:38" s="88" customFormat="1" ht="15" customHeight="1">
      <c r="A53" s="1612"/>
      <c r="B53" s="1602"/>
      <c r="C53" s="1603"/>
      <c r="D53" s="1628"/>
      <c r="E53" s="288">
        <f>NCong!F234</f>
        <v>3</v>
      </c>
      <c r="F53" s="290">
        <f>NCong!I234</f>
        <v>598419.22382307693</v>
      </c>
      <c r="G53" s="290">
        <f>NCong!I235</f>
        <v>409.32692307692309</v>
      </c>
      <c r="H53" s="290">
        <f>Dcu!J125</f>
        <v>6764.9472817384631</v>
      </c>
      <c r="I53" s="290">
        <f>VLieu!H$91</f>
        <v>22748.2</v>
      </c>
      <c r="J53" s="290">
        <f>Tbi!$I$69</f>
        <v>6077.8453999999992</v>
      </c>
      <c r="K53" s="290">
        <f>Tbi!$I$77</f>
        <v>6852.4396395000003</v>
      </c>
      <c r="L53" s="290">
        <f t="shared" si="46"/>
        <v>641271.98306739226</v>
      </c>
      <c r="M53" s="290">
        <f t="shared" si="47"/>
        <v>96190.797460108835</v>
      </c>
      <c r="N53" s="290">
        <f t="shared" si="48"/>
        <v>737462.78052750113</v>
      </c>
      <c r="O53" s="290">
        <f>NCong!J234</f>
        <v>865607.57887500001</v>
      </c>
      <c r="P53" s="291">
        <f>NCong!I234</f>
        <v>598419.22382307693</v>
      </c>
    </row>
    <row r="54" spans="1:38">
      <c r="A54" s="523">
        <v>1</v>
      </c>
      <c r="B54" s="1029" t="str">
        <f>NCong!A259</f>
        <v>10.2</v>
      </c>
      <c r="C54" s="116" t="str">
        <f>NCong!B259</f>
        <v>Trích lục trên bản đồ dạng giấy</v>
      </c>
      <c r="D54" s="78" t="str">
        <f>NCong!C259</f>
        <v>Hồ sơ</v>
      </c>
      <c r="E54" s="79" t="str">
        <f>NCong!F259</f>
        <v>1-3</v>
      </c>
      <c r="F54" s="95">
        <f>NCong!I259</f>
        <v>14838.525000000001</v>
      </c>
      <c r="G54" s="95"/>
      <c r="H54" s="95"/>
      <c r="I54" s="95"/>
      <c r="J54" s="95"/>
      <c r="K54" s="95"/>
      <c r="L54" s="95">
        <f t="shared" si="46"/>
        <v>14838.525000000001</v>
      </c>
      <c r="M54" s="95">
        <f t="shared" si="47"/>
        <v>2225.7787499999999</v>
      </c>
      <c r="N54" s="95">
        <f t="shared" si="48"/>
        <v>17064.303750000003</v>
      </c>
      <c r="O54" s="95">
        <f>NCong!J259</f>
        <v>1278.2250000000001</v>
      </c>
      <c r="P54" s="96">
        <f>NCong!K259</f>
        <v>1403.846153846154</v>
      </c>
    </row>
    <row r="55" spans="1:38" s="111" customFormat="1" ht="25.5">
      <c r="A55" s="526">
        <v>2</v>
      </c>
      <c r="B55" s="1031" t="str">
        <f>NCong!A260</f>
        <v>11</v>
      </c>
      <c r="C55" s="267" t="str">
        <f>NCong!B260</f>
        <v>Lập và gửi Phiếu chuyển thông tin để xác định nghĩa vụ tài chính về đất đai (nếu có)</v>
      </c>
      <c r="D55" s="123">
        <f>NCong!C260</f>
        <v>0</v>
      </c>
      <c r="E55" s="268">
        <f>NCong!F260</f>
        <v>0</v>
      </c>
      <c r="F55" s="93">
        <f>NCong!I260</f>
        <v>0</v>
      </c>
      <c r="G55" s="93"/>
      <c r="H55" s="93"/>
      <c r="I55" s="93"/>
      <c r="J55" s="93"/>
      <c r="K55" s="93"/>
      <c r="L55" s="93">
        <f t="shared" si="46"/>
        <v>0</v>
      </c>
      <c r="M55" s="93">
        <f t="shared" si="47"/>
        <v>0</v>
      </c>
      <c r="N55" s="93">
        <f t="shared" si="48"/>
        <v>0</v>
      </c>
      <c r="O55" s="93">
        <f>NCong!J260</f>
        <v>0</v>
      </c>
      <c r="P55" s="94">
        <f>NCong!K260</f>
        <v>0</v>
      </c>
    </row>
    <row r="56" spans="1:38" s="111" customFormat="1">
      <c r="A56" s="523">
        <v>3</v>
      </c>
      <c r="B56" s="1031" t="str">
        <f>NCong!A261</f>
        <v>11.1</v>
      </c>
      <c r="C56" s="267" t="str">
        <f>NCong!B261</f>
        <v>Chuyển, nhận thông tin theo hình thức liên thông</v>
      </c>
      <c r="D56" s="123" t="str">
        <f>NCong!C261</f>
        <v>Hồ sơ</v>
      </c>
      <c r="E56" s="268" t="str">
        <f>NCong!F261</f>
        <v>1-3</v>
      </c>
      <c r="F56" s="93">
        <f>NCong!I261</f>
        <v>10003.5</v>
      </c>
      <c r="G56" s="93"/>
      <c r="H56" s="93"/>
      <c r="I56" s="93"/>
      <c r="J56" s="93"/>
      <c r="K56" s="93"/>
      <c r="L56" s="93">
        <f t="shared" si="46"/>
        <v>10003.5</v>
      </c>
      <c r="M56" s="93">
        <f t="shared" si="47"/>
        <v>1500.5249999999999</v>
      </c>
      <c r="N56" s="93">
        <f t="shared" si="48"/>
        <v>11504.025</v>
      </c>
      <c r="O56" s="93">
        <f>NCong!J261</f>
        <v>766.93499999999995</v>
      </c>
      <c r="P56" s="94">
        <f>NCong!K261</f>
        <v>842.30769230769226</v>
      </c>
    </row>
    <row r="57" spans="1:38">
      <c r="A57" s="526">
        <v>4</v>
      </c>
      <c r="B57" s="1029" t="str">
        <f>NCong!A269</f>
        <v>15.1</v>
      </c>
      <c r="C57" s="80" t="str">
        <f>NCong!B269</f>
        <v>Trực tiếp từ cơ sở dữ liệu dạng số</v>
      </c>
      <c r="D57" s="78" t="str">
        <f>NCong!C269</f>
        <v>GCN</v>
      </c>
      <c r="E57" s="78" t="str">
        <f>NCong!F269</f>
        <v>1-3</v>
      </c>
      <c r="F57" s="95">
        <f>NCong!I269</f>
        <v>14838.525000000001</v>
      </c>
      <c r="G57" s="95"/>
      <c r="H57" s="95"/>
      <c r="I57" s="95">
        <f>VLieu!I129</f>
        <v>0</v>
      </c>
      <c r="J57" s="95"/>
      <c r="K57" s="95"/>
      <c r="L57" s="95">
        <f t="shared" si="46"/>
        <v>14838.525000000001</v>
      </c>
      <c r="M57" s="95">
        <f t="shared" si="47"/>
        <v>2225.7787499999999</v>
      </c>
      <c r="N57" s="95">
        <f t="shared" si="48"/>
        <v>17064.303750000003</v>
      </c>
      <c r="O57" s="95">
        <f>NCong!J269</f>
        <v>1278.2250000000001</v>
      </c>
      <c r="P57" s="96">
        <f>NCong!K269</f>
        <v>1403.846153846154</v>
      </c>
    </row>
    <row r="58" spans="1:38" s="471" customFormat="1">
      <c r="A58" s="523">
        <v>5</v>
      </c>
      <c r="B58" s="466" t="str">
        <f>NCong!A278</f>
        <v>19.2</v>
      </c>
      <c r="C58" s="467" t="str">
        <f>NCong!B278</f>
        <v>Quét trang A4</v>
      </c>
      <c r="D58" s="468" t="str">
        <f>NCong!C278</f>
        <v>Trang</v>
      </c>
      <c r="E58" s="468"/>
      <c r="F58" s="469">
        <f>NCong!I278</f>
        <v>2080.7280000000001</v>
      </c>
      <c r="G58" s="469"/>
      <c r="H58" s="469"/>
      <c r="I58" s="469"/>
      <c r="J58" s="469"/>
      <c r="K58" s="469"/>
      <c r="L58" s="469">
        <f>SUM(F58:K58)</f>
        <v>2080.7280000000001</v>
      </c>
      <c r="M58" s="469">
        <f>$M$6*L58</f>
        <v>312.10919999999999</v>
      </c>
      <c r="N58" s="469">
        <f>L58+M58</f>
        <v>2392.8371999999999</v>
      </c>
      <c r="O58" s="469">
        <f>NCong!J278</f>
        <v>204.51599999999999</v>
      </c>
      <c r="P58" s="470">
        <f>NCong!K278</f>
        <v>224.61538461538464</v>
      </c>
    </row>
    <row r="59" spans="1:38" s="471" customFormat="1" ht="25.5">
      <c r="A59" s="526">
        <v>6</v>
      </c>
      <c r="B59" s="466" t="str">
        <f>NCong!A279</f>
        <v>20</v>
      </c>
      <c r="C59" s="467" t="str">
        <f>NCong!B279</f>
        <v>Xử lý các tệp tin quét thành tệp (File) hồ sơ quét dạng số của thửa đất, lưu trữ dưới khuôn dạng tệp tin PDF</v>
      </c>
      <c r="D59" s="468" t="str">
        <f>NCong!C279</f>
        <v>Trang</v>
      </c>
      <c r="E59" s="468"/>
      <c r="F59" s="469">
        <f>NCong!I279</f>
        <v>1040.364</v>
      </c>
      <c r="G59" s="469"/>
      <c r="H59" s="469"/>
      <c r="I59" s="469"/>
      <c r="J59" s="469"/>
      <c r="K59" s="469"/>
      <c r="L59" s="469">
        <f>SUM(F59:K59)</f>
        <v>1040.364</v>
      </c>
      <c r="M59" s="469">
        <f>$M$6*L59</f>
        <v>156.05459999999999</v>
      </c>
      <c r="N59" s="469">
        <f>L59+M59</f>
        <v>1196.4186</v>
      </c>
      <c r="O59" s="469">
        <f>NCong!J279</f>
        <v>766.93500000000006</v>
      </c>
      <c r="P59" s="470">
        <f>NCong!K279</f>
        <v>842.30769230769238</v>
      </c>
    </row>
    <row r="60" spans="1:38" s="471" customFormat="1" ht="25.5">
      <c r="A60" s="523">
        <v>7</v>
      </c>
      <c r="B60" s="466" t="str">
        <f>NCong!A280</f>
        <v>21</v>
      </c>
      <c r="C60" s="467" t="str">
        <f>NCong!B280</f>
        <v>Tạo liên kết hồ sơ quét dạng số với thửa đất trong cơ sở dữ liệu</v>
      </c>
      <c r="D60" s="468" t="str">
        <f>NCong!C280</f>
        <v>Thửa</v>
      </c>
      <c r="E60" s="468"/>
      <c r="F60" s="469">
        <f>NCong!I280</f>
        <v>2600.91</v>
      </c>
      <c r="G60" s="469"/>
      <c r="H60" s="469"/>
      <c r="I60" s="469"/>
      <c r="J60" s="469"/>
      <c r="K60" s="469"/>
      <c r="L60" s="469">
        <f>SUM(F60:K60)</f>
        <v>2600.91</v>
      </c>
      <c r="M60" s="469">
        <f>$M$6*L60</f>
        <v>390.13649999999996</v>
      </c>
      <c r="N60" s="469">
        <f>L60+M60</f>
        <v>2991.0464999999999</v>
      </c>
      <c r="O60" s="469">
        <f>NCong!J280</f>
        <v>255.64500000000001</v>
      </c>
      <c r="P60" s="470">
        <f>NCong!K280</f>
        <v>280.76923076923077</v>
      </c>
    </row>
    <row r="61" spans="1:38" s="471" customFormat="1" ht="38.25">
      <c r="A61" s="526">
        <v>8</v>
      </c>
      <c r="B61" s="466" t="str">
        <f>NCong!A281</f>
        <v>22</v>
      </c>
      <c r="C61" s="467" t="str">
        <f>NCong!B281</f>
        <v>Chuyển Giấy chứng nhận đến Bộ phận một cửa để trao cho người sử dụng đất hoặc chuyển Giấy chứng nhận cho người sử dụng đất thông qua dịch vụ bưu chính công ích</v>
      </c>
      <c r="D61" s="468" t="str">
        <f>NCong!C281</f>
        <v>Hồ sơ</v>
      </c>
      <c r="E61" s="468"/>
      <c r="F61" s="469">
        <f>NCong!I281</f>
        <v>5935.41</v>
      </c>
      <c r="G61" s="469"/>
      <c r="H61" s="469"/>
      <c r="I61" s="469"/>
      <c r="J61" s="469"/>
      <c r="K61" s="469"/>
      <c r="L61" s="469">
        <f>SUM(F61:K61)</f>
        <v>5935.41</v>
      </c>
      <c r="M61" s="469">
        <f>$M$6*L61</f>
        <v>890.31149999999991</v>
      </c>
      <c r="N61" s="469">
        <f>L61+M61</f>
        <v>6825.7214999999997</v>
      </c>
      <c r="O61" s="469">
        <f>NCong!J281</f>
        <v>511.29</v>
      </c>
      <c r="P61" s="470">
        <f>NCong!K281</f>
        <v>561.53846153846155</v>
      </c>
    </row>
    <row r="62" spans="1:38" s="471" customFormat="1" ht="38.25">
      <c r="A62" s="523">
        <v>9</v>
      </c>
      <c r="B62" s="466" t="str">
        <f>NCong!A282</f>
        <v>23</v>
      </c>
      <c r="C62" s="467" t="str">
        <f>NCong!B282</f>
        <v xml:space="preserve">Nhận hồ sơ địa chính từ cấp tỉnh và gửi về xã, phường (01 bộ) </v>
      </c>
      <c r="D62" s="468" t="str">
        <f>NCong!C282</f>
        <v>Bộ/xã , phường</v>
      </c>
      <c r="E62" s="468"/>
      <c r="F62" s="469">
        <f>NCong!I282</f>
        <v>474.83280000000002</v>
      </c>
      <c r="G62" s="469"/>
      <c r="H62" s="469"/>
      <c r="I62" s="469"/>
      <c r="J62" s="469"/>
      <c r="K62" s="469"/>
      <c r="L62" s="469">
        <f>SUM(F62:K62)</f>
        <v>474.83280000000002</v>
      </c>
      <c r="M62" s="469">
        <f>$M$6*L62</f>
        <v>71.224919999999997</v>
      </c>
      <c r="N62" s="469">
        <f>L62+M62</f>
        <v>546.05772000000002</v>
      </c>
      <c r="O62" s="469">
        <f>NCong!J282</f>
        <v>818064</v>
      </c>
      <c r="P62" s="470">
        <f>NCong!K282</f>
        <v>898461.5384615385</v>
      </c>
    </row>
    <row r="63" spans="1:38" s="88" customFormat="1" ht="22.5" customHeight="1">
      <c r="A63" s="1035" t="s">
        <v>130</v>
      </c>
      <c r="B63" s="1028" t="str">
        <f>NCong!A283</f>
        <v>IV.2</v>
      </c>
      <c r="C63" s="292" t="str">
        <f>NCong!B283</f>
        <v>CÁC NỘI DUNG THỰC HIỆN TẠI ĐỊA BÀN CẤP TỈNH</v>
      </c>
      <c r="D63" s="288" t="s">
        <v>53</v>
      </c>
      <c r="E63" s="288">
        <f>NCong!F283</f>
        <v>0</v>
      </c>
      <c r="F63" s="305">
        <f>NCong!I283</f>
        <v>27676.433362500004</v>
      </c>
      <c r="G63" s="305"/>
      <c r="H63" s="305">
        <f>Dcu!L123</f>
        <v>916.50581053846167</v>
      </c>
      <c r="I63" s="305">
        <f>VLieu!J91</f>
        <v>10012.540000000001</v>
      </c>
      <c r="J63" s="305">
        <f>Tbi!I78</f>
        <v>3120.8517999999999</v>
      </c>
      <c r="K63" s="305">
        <f>Tbi!I84+Dcu!L$119</f>
        <v>4857.760362</v>
      </c>
      <c r="L63" s="305">
        <f t="shared" si="46"/>
        <v>46584.091335038465</v>
      </c>
      <c r="M63" s="305">
        <f t="shared" si="47"/>
        <v>6987.6137002557698</v>
      </c>
      <c r="N63" s="305">
        <f t="shared" si="48"/>
        <v>53571.705035294231</v>
      </c>
      <c r="O63" s="305">
        <f>NCong!J283</f>
        <v>4222.9358437499995</v>
      </c>
      <c r="P63" s="306">
        <f>NCong!I283</f>
        <v>27676.433362500004</v>
      </c>
    </row>
    <row r="64" spans="1:38" s="83" customFormat="1" ht="16.899999999999999" customHeight="1">
      <c r="A64" s="1431" t="s">
        <v>111</v>
      </c>
      <c r="B64" s="1596" t="str">
        <f>NCong!A304</f>
        <v>V</v>
      </c>
      <c r="C64" s="1604" t="str">
        <f>NCong!B304</f>
        <v>Đăng ký, cấp đổi, cấp lại Giấy chứng nhận riêng lẻ đối với hộ gia đình, cá nhân, cộng đồng dân cư, người gốc Việt Nam định cư ở nước ngoài.</v>
      </c>
      <c r="D64" s="1606" t="s">
        <v>53</v>
      </c>
      <c r="E64" s="1606" t="s">
        <v>32</v>
      </c>
      <c r="F64" s="1613" t="s">
        <v>516</v>
      </c>
      <c r="G64" s="1614"/>
      <c r="H64" s="1614"/>
      <c r="I64" s="1614"/>
      <c r="J64" s="1614"/>
      <c r="K64" s="1614"/>
      <c r="L64" s="1614"/>
      <c r="M64" s="1614"/>
      <c r="N64" s="1615"/>
      <c r="O64" s="317"/>
      <c r="P64" s="318"/>
      <c r="Q64" s="1616" t="s">
        <v>517</v>
      </c>
      <c r="R64" s="1614"/>
      <c r="S64" s="1614"/>
      <c r="T64" s="1614"/>
      <c r="U64" s="1614"/>
      <c r="V64" s="1614"/>
      <c r="W64" s="1614"/>
      <c r="X64" s="1614"/>
      <c r="Y64" s="1615"/>
      <c r="Z64" s="317"/>
      <c r="AA64" s="318"/>
      <c r="AB64" s="1616" t="s">
        <v>518</v>
      </c>
      <c r="AC64" s="1614"/>
      <c r="AD64" s="1614"/>
      <c r="AE64" s="1614"/>
      <c r="AF64" s="1614"/>
      <c r="AG64" s="1614"/>
      <c r="AH64" s="1614"/>
      <c r="AI64" s="1614"/>
      <c r="AJ64" s="1615"/>
      <c r="AK64" s="317"/>
      <c r="AL64" s="319"/>
    </row>
    <row r="65" spans="1:38" s="83" customFormat="1" ht="39.6" customHeight="1">
      <c r="A65" s="1431"/>
      <c r="B65" s="1597"/>
      <c r="C65" s="1605"/>
      <c r="D65" s="1607"/>
      <c r="E65" s="1607"/>
      <c r="F65" s="309">
        <f t="shared" ref="F65:K65" si="50">SUM(F66:F66)</f>
        <v>947998.35000000009</v>
      </c>
      <c r="G65" s="309">
        <f t="shared" si="50"/>
        <v>0</v>
      </c>
      <c r="H65" s="309">
        <f t="shared" si="50"/>
        <v>9922.1415201410255</v>
      </c>
      <c r="I65" s="309">
        <f t="shared" si="50"/>
        <v>18752.5</v>
      </c>
      <c r="J65" s="309">
        <f t="shared" si="50"/>
        <v>16531.804800000002</v>
      </c>
      <c r="K65" s="309">
        <f t="shared" si="50"/>
        <v>24015.497688000003</v>
      </c>
      <c r="L65" s="309">
        <f>SUM(F65:K65)</f>
        <v>1017220.2940081412</v>
      </c>
      <c r="M65" s="309">
        <f>$M$6*L65</f>
        <v>152583.04410122117</v>
      </c>
      <c r="N65" s="309">
        <f>L65+M65</f>
        <v>1169803.3381093624</v>
      </c>
      <c r="O65" s="309">
        <f t="shared" ref="O65:V65" si="51">SUM(O66:O66)</f>
        <v>61303.671000000009</v>
      </c>
      <c r="P65" s="310">
        <f t="shared" si="51"/>
        <v>92962.692307692327</v>
      </c>
      <c r="Q65" s="311">
        <f t="shared" si="51"/>
        <v>883809.22500000009</v>
      </c>
      <c r="R65" s="309">
        <f t="shared" si="51"/>
        <v>0</v>
      </c>
      <c r="S65" s="309">
        <f t="shared" si="51"/>
        <v>9922.1415201410255</v>
      </c>
      <c r="T65" s="309">
        <f t="shared" si="51"/>
        <v>18752.5</v>
      </c>
      <c r="U65" s="309">
        <f t="shared" si="51"/>
        <v>16531.804800000002</v>
      </c>
      <c r="V65" s="309">
        <f t="shared" si="51"/>
        <v>24015.497688000003</v>
      </c>
      <c r="W65" s="309">
        <f>SUM(Q65:V65)</f>
        <v>953031.16900814115</v>
      </c>
      <c r="X65" s="309">
        <f>$M$6*W65</f>
        <v>142954.67535122117</v>
      </c>
      <c r="Y65" s="309">
        <f>W65+X65</f>
        <v>1095985.8443593623</v>
      </c>
      <c r="Z65" s="309">
        <f t="shared" ref="Z65:AG65" si="52">SUM(Z66:Z66)</f>
        <v>56293.029000000002</v>
      </c>
      <c r="AA65" s="310">
        <f t="shared" si="52"/>
        <v>90941.153846153858</v>
      </c>
      <c r="AB65" s="309">
        <f t="shared" si="52"/>
        <v>1234782.0225</v>
      </c>
      <c r="AC65" s="309">
        <f t="shared" si="52"/>
        <v>0</v>
      </c>
      <c r="AD65" s="309">
        <f t="shared" si="52"/>
        <v>12898.783976183333</v>
      </c>
      <c r="AE65" s="309">
        <f t="shared" si="52"/>
        <v>18752.5</v>
      </c>
      <c r="AF65" s="309">
        <f t="shared" si="52"/>
        <v>21491.346240000003</v>
      </c>
      <c r="AG65" s="309">
        <f t="shared" si="52"/>
        <v>31220.146994400005</v>
      </c>
      <c r="AH65" s="309">
        <f>SUM(AB65:AG65)</f>
        <v>1319144.7997105834</v>
      </c>
      <c r="AI65" s="309">
        <f>$M$6*AH65</f>
        <v>197871.71995658751</v>
      </c>
      <c r="AJ65" s="309">
        <f>AH65+AI65</f>
        <v>1517016.5196671709</v>
      </c>
      <c r="AK65" s="309">
        <f>SUM(AK66:AK66)</f>
        <v>81218.416500000007</v>
      </c>
      <c r="AL65" s="310">
        <f>SUM(AL66:AL66)</f>
        <v>120000.76923076923</v>
      </c>
    </row>
    <row r="66" spans="1:38" s="88" customFormat="1" ht="27">
      <c r="A66" s="1035" t="s">
        <v>137</v>
      </c>
      <c r="B66" s="1028" t="str">
        <f>NCong!A305</f>
        <v>V.1</v>
      </c>
      <c r="C66" s="292" t="str">
        <f>NCong!B305</f>
        <v>CÁC NỘI DUNG THỰC HIỆN TẠI ĐỊA BÀN CẤP XÃ,PHƯỜNG,ĐẶC KHU</v>
      </c>
      <c r="D66" s="288" t="s">
        <v>53</v>
      </c>
      <c r="E66" s="289" t="s">
        <v>32</v>
      </c>
      <c r="F66" s="290">
        <f>NCong!K305</f>
        <v>947998.35000000009</v>
      </c>
      <c r="G66" s="290"/>
      <c r="H66" s="290">
        <f>Dcu!K175</f>
        <v>9922.1415201410255</v>
      </c>
      <c r="I66" s="290">
        <f>VLieu!I114</f>
        <v>18752.5</v>
      </c>
      <c r="J66" s="290">
        <f>Tbi!I98</f>
        <v>16531.804800000002</v>
      </c>
      <c r="K66" s="290">
        <f>Tbi!I105+Dcu!K174</f>
        <v>24015.497688000003</v>
      </c>
      <c r="L66" s="290">
        <f>SUM(F66:K66)</f>
        <v>1017220.2940081412</v>
      </c>
      <c r="M66" s="290">
        <f>$M$6*L66</f>
        <v>152583.04410122117</v>
      </c>
      <c r="N66" s="290">
        <f>L66+M66</f>
        <v>1169803.3381093624</v>
      </c>
      <c r="O66" s="290">
        <f>NCong!N305</f>
        <v>61303.671000000009</v>
      </c>
      <c r="P66" s="291">
        <f>NCong!Q305</f>
        <v>92962.692307692327</v>
      </c>
      <c r="Q66" s="290">
        <f>NCong!L305</f>
        <v>883809.22500000009</v>
      </c>
      <c r="R66" s="290"/>
      <c r="S66" s="290">
        <f>H66</f>
        <v>9922.1415201410255</v>
      </c>
      <c r="T66" s="290">
        <f>I66</f>
        <v>18752.5</v>
      </c>
      <c r="U66" s="290">
        <f>J66</f>
        <v>16531.804800000002</v>
      </c>
      <c r="V66" s="290">
        <f>K66</f>
        <v>24015.497688000003</v>
      </c>
      <c r="W66" s="290">
        <f>SUM(Q66:V66)</f>
        <v>953031.16900814115</v>
      </c>
      <c r="X66" s="290">
        <f>$M$6*W66</f>
        <v>142954.67535122117</v>
      </c>
      <c r="Y66" s="290">
        <f>W66+X66</f>
        <v>1095985.8443593623</v>
      </c>
      <c r="Z66" s="290">
        <f>NCong!O305</f>
        <v>56293.029000000002</v>
      </c>
      <c r="AA66" s="291">
        <f>NCong!R305</f>
        <v>90941.153846153858</v>
      </c>
      <c r="AB66" s="290">
        <f>NCong!M305</f>
        <v>1234782.0225</v>
      </c>
      <c r="AC66" s="290"/>
      <c r="AD66" s="290">
        <f>H66*1.3</f>
        <v>12898.783976183333</v>
      </c>
      <c r="AE66" s="290">
        <f>I66</f>
        <v>18752.5</v>
      </c>
      <c r="AF66" s="290">
        <f>J66*1.3</f>
        <v>21491.346240000003</v>
      </c>
      <c r="AG66" s="290">
        <f>K66*1.3</f>
        <v>31220.146994400005</v>
      </c>
      <c r="AH66" s="290">
        <f>SUM(AB66:AG66)</f>
        <v>1319144.7997105834</v>
      </c>
      <c r="AI66" s="290">
        <f>$M$6*AH66</f>
        <v>197871.71995658751</v>
      </c>
      <c r="AJ66" s="290">
        <f>AH66+AI66</f>
        <v>1517016.5196671709</v>
      </c>
      <c r="AK66" s="290">
        <f>NCong!P305</f>
        <v>81218.416500000007</v>
      </c>
      <c r="AL66" s="291">
        <f>NCong!S305</f>
        <v>120000.76923076923</v>
      </c>
    </row>
    <row r="67" spans="1:38" s="83" customFormat="1" ht="16.899999999999999" customHeight="1">
      <c r="A67" s="1431" t="s">
        <v>235</v>
      </c>
      <c r="B67" s="1596" t="str">
        <f>NCong!A365</f>
        <v>VI</v>
      </c>
      <c r="C67" s="1633" t="str">
        <f>NCong!B365</f>
        <v>Đăng ký, cấp đổi, cấp lại Giấy chứng nhận riêng lẻ đối với tổ chức, tổ chức tôn giáo, tổ chức tôn giáo trực thuộc, tổ chức nước ngoài có chức năng ngoại giao, tổ chức kinh tế có vốn đầu tư nước ngoài, tổ chức nước ngoài, cá nhân nước ngoài</v>
      </c>
      <c r="D67" s="1606" t="s">
        <v>53</v>
      </c>
      <c r="E67" s="1606" t="s">
        <v>32</v>
      </c>
      <c r="F67" s="1598" t="s">
        <v>516</v>
      </c>
      <c r="G67" s="1599"/>
      <c r="H67" s="1599"/>
      <c r="I67" s="1599"/>
      <c r="J67" s="1599"/>
      <c r="K67" s="1599"/>
      <c r="L67" s="1599"/>
      <c r="M67" s="1599"/>
      <c r="N67" s="1600"/>
      <c r="O67" s="323"/>
      <c r="P67" s="319"/>
      <c r="Q67" s="1601" t="s">
        <v>517</v>
      </c>
      <c r="R67" s="1599"/>
      <c r="S67" s="1599"/>
      <c r="T67" s="1599"/>
      <c r="U67" s="1599"/>
      <c r="V67" s="1599"/>
      <c r="W67" s="1599"/>
      <c r="X67" s="1599"/>
      <c r="Y67" s="1600"/>
      <c r="Z67" s="323"/>
      <c r="AA67" s="319"/>
      <c r="AB67" s="1601" t="s">
        <v>518</v>
      </c>
      <c r="AC67" s="1599"/>
      <c r="AD67" s="1599"/>
      <c r="AE67" s="1599"/>
      <c r="AF67" s="1599"/>
      <c r="AG67" s="1599"/>
      <c r="AH67" s="1599"/>
      <c r="AI67" s="1599"/>
      <c r="AJ67" s="1600"/>
      <c r="AK67" s="323"/>
      <c r="AL67" s="319"/>
    </row>
    <row r="68" spans="1:38" s="83" customFormat="1" ht="39.6" customHeight="1">
      <c r="A68" s="1431"/>
      <c r="B68" s="1597"/>
      <c r="C68" s="1634"/>
      <c r="D68" s="1607"/>
      <c r="E68" s="1607"/>
      <c r="F68" s="309">
        <f t="shared" ref="F68:K68" si="53">F69+F70</f>
        <v>1328331.4199999997</v>
      </c>
      <c r="G68" s="309">
        <f t="shared" si="53"/>
        <v>0</v>
      </c>
      <c r="H68" s="309">
        <f t="shared" si="53"/>
        <v>15337.920879692307</v>
      </c>
      <c r="I68" s="309">
        <f t="shared" si="53"/>
        <v>24019</v>
      </c>
      <c r="J68" s="309">
        <f t="shared" si="53"/>
        <v>22041.186399999999</v>
      </c>
      <c r="K68" s="309">
        <f t="shared" si="53"/>
        <v>32016.255453000002</v>
      </c>
      <c r="L68" s="309">
        <f>SUM(F68:K68)</f>
        <v>1421745.7827326921</v>
      </c>
      <c r="M68" s="309">
        <f>$M$6*L68</f>
        <v>213261.86740990382</v>
      </c>
      <c r="N68" s="309">
        <f>L68+M68</f>
        <v>1635007.6501425959</v>
      </c>
      <c r="O68" s="309">
        <f>O69+O70</f>
        <v>81959.787000000011</v>
      </c>
      <c r="P68" s="310">
        <f>NCong!Q366</f>
        <v>120702.69230769231</v>
      </c>
      <c r="Q68" s="311">
        <f t="shared" ref="Q68:V68" si="54">Q69+Q70</f>
        <v>1264142.2949999997</v>
      </c>
      <c r="R68" s="309">
        <f t="shared" si="54"/>
        <v>0</v>
      </c>
      <c r="S68" s="309">
        <f t="shared" si="54"/>
        <v>15337.920879692307</v>
      </c>
      <c r="T68" s="309">
        <f t="shared" si="54"/>
        <v>24019</v>
      </c>
      <c r="U68" s="309">
        <f t="shared" si="54"/>
        <v>22041.186399999999</v>
      </c>
      <c r="V68" s="309">
        <f t="shared" si="54"/>
        <v>32016.255453000002</v>
      </c>
      <c r="W68" s="309">
        <f>SUM(Q68:V68)</f>
        <v>1357556.6577326921</v>
      </c>
      <c r="X68" s="309">
        <f>$M$6*W68</f>
        <v>203633.49865990379</v>
      </c>
      <c r="Y68" s="309">
        <f>W68+X68</f>
        <v>1561190.156392596</v>
      </c>
      <c r="Z68" s="309">
        <f>NCong!O366</f>
        <v>76463.419500000018</v>
      </c>
      <c r="AA68" s="310">
        <f>NCong!R366</f>
        <v>118709.23076923077</v>
      </c>
      <c r="AB68" s="309">
        <f t="shared" ref="AB68:AG68" si="55">AB69+AB70</f>
        <v>1818449.568</v>
      </c>
      <c r="AC68" s="309">
        <f t="shared" si="55"/>
        <v>0</v>
      </c>
      <c r="AD68" s="309">
        <f t="shared" si="55"/>
        <v>19939.297143600001</v>
      </c>
      <c r="AE68" s="309">
        <f t="shared" si="55"/>
        <v>24019</v>
      </c>
      <c r="AF68" s="309">
        <f t="shared" si="55"/>
        <v>28653.54232</v>
      </c>
      <c r="AG68" s="309">
        <f t="shared" si="55"/>
        <v>41621.132088900005</v>
      </c>
      <c r="AH68" s="309">
        <f>SUM(AB68:AG68)</f>
        <v>1932682.5395525</v>
      </c>
      <c r="AI68" s="309">
        <f>$M$6*AH68</f>
        <v>289902.38093287498</v>
      </c>
      <c r="AJ68" s="309">
        <f>AH68+AI68</f>
        <v>2222584.920485375</v>
      </c>
      <c r="AK68" s="309">
        <f>NCong!P366</f>
        <v>114963.55650000004</v>
      </c>
      <c r="AL68" s="310">
        <f>NCong!S366</f>
        <v>165401.15384615387</v>
      </c>
    </row>
    <row r="69" spans="1:38" s="88" customFormat="1" ht="24" customHeight="1">
      <c r="A69" s="1035" t="s">
        <v>690</v>
      </c>
      <c r="B69" s="1028" t="str">
        <f>NCong!A366</f>
        <v>VI.1</v>
      </c>
      <c r="C69" s="292" t="str">
        <f>NCong!B366</f>
        <v>CÁC NỘI DUNG THỰC HIỆN TẠI ĐỊA BÀN CẤP TỈNH</v>
      </c>
      <c r="D69" s="288" t="s">
        <v>53</v>
      </c>
      <c r="E69" s="289"/>
      <c r="F69" s="290">
        <f>NCong!K366</f>
        <v>1322396.0099999998</v>
      </c>
      <c r="G69" s="290"/>
      <c r="H69" s="290">
        <f>Dcu!L193</f>
        <v>15206.647700692307</v>
      </c>
      <c r="I69" s="290">
        <f>VLieu!J134</f>
        <v>22493</v>
      </c>
      <c r="J69" s="290">
        <f>Tbi!I112</f>
        <v>22041.186399999999</v>
      </c>
      <c r="K69" s="290">
        <f>Tbi!I119+Dcu!L192</f>
        <v>31976.582274</v>
      </c>
      <c r="L69" s="290">
        <f>SUM(F69:K69)</f>
        <v>1414113.426374692</v>
      </c>
      <c r="M69" s="290">
        <f>$M$6*L69</f>
        <v>212117.01395620379</v>
      </c>
      <c r="N69" s="290">
        <f>L69+M69</f>
        <v>1626230.4403308958</v>
      </c>
      <c r="O69" s="290">
        <f>NCong!N366</f>
        <v>81448.497000000018</v>
      </c>
      <c r="P69" s="291">
        <f>NCong!Q325</f>
        <v>1684.6153846153845</v>
      </c>
      <c r="Q69" s="290">
        <f>NCong!L366</f>
        <v>1258206.8849999998</v>
      </c>
      <c r="R69" s="290"/>
      <c r="S69" s="290">
        <f t="shared" ref="S69:V70" si="56">H69</f>
        <v>15206.647700692307</v>
      </c>
      <c r="T69" s="290">
        <f t="shared" si="56"/>
        <v>22493</v>
      </c>
      <c r="U69" s="290">
        <f t="shared" si="56"/>
        <v>22041.186399999999</v>
      </c>
      <c r="V69" s="290">
        <f t="shared" si="56"/>
        <v>31976.582274</v>
      </c>
      <c r="W69" s="290">
        <f>SUM(Q69:V69)</f>
        <v>1349924.301374692</v>
      </c>
      <c r="X69" s="290">
        <f>$M$6*W69</f>
        <v>202488.6452062038</v>
      </c>
      <c r="Y69" s="290">
        <f>W69+X69</f>
        <v>1552412.9465808957</v>
      </c>
      <c r="Z69" s="290">
        <f>NCong!O366</f>
        <v>76463.419500000018</v>
      </c>
      <c r="AA69" s="291">
        <f>NCong!R366</f>
        <v>118709.23076923077</v>
      </c>
      <c r="AB69" s="290">
        <f>NCong!M366</f>
        <v>1810733.5349999999</v>
      </c>
      <c r="AC69" s="290"/>
      <c r="AD69" s="290">
        <f>H69*1.3</f>
        <v>19768.642010899999</v>
      </c>
      <c r="AE69" s="290">
        <f>I69</f>
        <v>22493</v>
      </c>
      <c r="AF69" s="290">
        <f>J69*1.3</f>
        <v>28653.54232</v>
      </c>
      <c r="AG69" s="290">
        <f>K69*1.3</f>
        <v>41569.556956200002</v>
      </c>
      <c r="AH69" s="290">
        <f>SUM(AB69:AG69)</f>
        <v>1923218.2762870998</v>
      </c>
      <c r="AI69" s="290">
        <f>$M$6*AH69</f>
        <v>288482.74144306494</v>
      </c>
      <c r="AJ69" s="290">
        <f>AH69+AI69</f>
        <v>2211701.0177301648</v>
      </c>
      <c r="AK69" s="290">
        <f>NCong!P366</f>
        <v>114963.55650000004</v>
      </c>
      <c r="AL69" s="291">
        <f>NCong!S366</f>
        <v>165401.15384615387</v>
      </c>
    </row>
    <row r="70" spans="1:38" s="88" customFormat="1" ht="27">
      <c r="A70" s="1035" t="s">
        <v>693</v>
      </c>
      <c r="B70" s="1028" t="str">
        <f>NCong!A408</f>
        <v>VI.2</v>
      </c>
      <c r="C70" s="292" t="str">
        <f>NCong!B408</f>
        <v>CÁC NỘI DUNG THỰC HIỆN TẠI ĐỊA BÀN XÃ, PHƯỜNG</v>
      </c>
      <c r="D70" s="288" t="s">
        <v>53</v>
      </c>
      <c r="E70" s="289"/>
      <c r="F70" s="290">
        <f>NCong!K409</f>
        <v>5935.41</v>
      </c>
      <c r="G70" s="290"/>
      <c r="H70" s="290">
        <f>Dcu!J193</f>
        <v>131.273179</v>
      </c>
      <c r="I70" s="290">
        <f>VLieu!H134</f>
        <v>1526</v>
      </c>
      <c r="J70" s="290"/>
      <c r="K70" s="290">
        <f>Dcu!J192</f>
        <v>39.673178999999998</v>
      </c>
      <c r="L70" s="290">
        <f>SUM(F70:K70)</f>
        <v>7632.356358</v>
      </c>
      <c r="M70" s="290">
        <f>$M$6*L70</f>
        <v>1144.8534537</v>
      </c>
      <c r="N70" s="290">
        <f>L70+M70</f>
        <v>8777.2098117000005</v>
      </c>
      <c r="O70" s="290">
        <f>NCong!N408</f>
        <v>511.29</v>
      </c>
      <c r="P70" s="291">
        <f>NCong!Q408</f>
        <v>561.53846153846155</v>
      </c>
      <c r="Q70" s="290">
        <f>NCong!L408</f>
        <v>5935.41</v>
      </c>
      <c r="R70" s="290"/>
      <c r="S70" s="290">
        <f t="shared" si="56"/>
        <v>131.273179</v>
      </c>
      <c r="T70" s="290">
        <f t="shared" si="56"/>
        <v>1526</v>
      </c>
      <c r="U70" s="290">
        <f t="shared" si="56"/>
        <v>0</v>
      </c>
      <c r="V70" s="290">
        <f t="shared" si="56"/>
        <v>39.673178999999998</v>
      </c>
      <c r="W70" s="290">
        <f>SUM(Q70:V70)</f>
        <v>7632.356358</v>
      </c>
      <c r="X70" s="290">
        <f>$M$6*W70</f>
        <v>1144.8534537</v>
      </c>
      <c r="Y70" s="290">
        <f>W70+X70</f>
        <v>8777.2098117000005</v>
      </c>
      <c r="Z70" s="290">
        <f>NCong!O408</f>
        <v>511.29</v>
      </c>
      <c r="AA70" s="291">
        <f>NCong!S408</f>
        <v>730</v>
      </c>
      <c r="AB70" s="290">
        <f>NCong!M408</f>
        <v>7716.0329999999994</v>
      </c>
      <c r="AC70" s="290"/>
      <c r="AD70" s="290">
        <f>H70*1.3</f>
        <v>170.6551327</v>
      </c>
      <c r="AE70" s="290">
        <f>I70</f>
        <v>1526</v>
      </c>
      <c r="AF70" s="290">
        <f>J70*1.3</f>
        <v>0</v>
      </c>
      <c r="AG70" s="290">
        <f>K70*1.3</f>
        <v>51.575132699999997</v>
      </c>
      <c r="AH70" s="290">
        <f>SUM(AB70:AG70)</f>
        <v>9464.263265399999</v>
      </c>
      <c r="AI70" s="290">
        <f>$M$6*AH70</f>
        <v>1419.6394898099998</v>
      </c>
      <c r="AJ70" s="290">
        <f>AH70+AI70</f>
        <v>10883.902755209998</v>
      </c>
      <c r="AK70" s="290">
        <f>NCong!P408</f>
        <v>664.67700000000002</v>
      </c>
      <c r="AL70" s="291">
        <f>NCong!S408</f>
        <v>730</v>
      </c>
    </row>
    <row r="71" spans="1:38" s="83" customFormat="1" ht="51.75" customHeight="1">
      <c r="A71" s="438" t="s">
        <v>236</v>
      </c>
      <c r="B71" s="1228" t="str">
        <f>NCong!A418</f>
        <v>VII</v>
      </c>
      <c r="C71" s="1227" t="str">
        <f>NCong!B418</f>
        <v>Đăng ký biến động đất đai đối với hộ gia đình, cá nhân, cộng đồng dân cư, người gốc Việt Nam định cư ở nước ngoài</v>
      </c>
      <c r="D71" s="320">
        <f>NCong!C418</f>
        <v>0</v>
      </c>
      <c r="E71" s="320">
        <f>NCong!E418</f>
        <v>0</v>
      </c>
      <c r="F71" s="1598" t="s">
        <v>516</v>
      </c>
      <c r="G71" s="1599"/>
      <c r="H71" s="1599"/>
      <c r="I71" s="1599"/>
      <c r="J71" s="1599"/>
      <c r="K71" s="1599"/>
      <c r="L71" s="1599"/>
      <c r="M71" s="1599"/>
      <c r="N71" s="1600"/>
      <c r="O71" s="323"/>
      <c r="P71" s="319"/>
      <c r="Q71" s="1601" t="s">
        <v>517</v>
      </c>
      <c r="R71" s="1599"/>
      <c r="S71" s="1599"/>
      <c r="T71" s="1599"/>
      <c r="U71" s="1599"/>
      <c r="V71" s="1599"/>
      <c r="W71" s="1599"/>
      <c r="X71" s="1599"/>
      <c r="Y71" s="1600"/>
      <c r="Z71" s="323"/>
      <c r="AA71" s="319"/>
      <c r="AB71" s="1601" t="s">
        <v>518</v>
      </c>
      <c r="AC71" s="1599"/>
      <c r="AD71" s="1599"/>
      <c r="AE71" s="1599"/>
      <c r="AF71" s="1599"/>
      <c r="AG71" s="1599"/>
      <c r="AH71" s="1599"/>
      <c r="AI71" s="1599"/>
      <c r="AJ71" s="1600"/>
      <c r="AK71" s="323"/>
      <c r="AL71" s="319"/>
    </row>
    <row r="72" spans="1:38" s="83" customFormat="1" ht="22.15" customHeight="1">
      <c r="A72" s="520" t="s">
        <v>20</v>
      </c>
      <c r="B72" s="1231" t="s">
        <v>20</v>
      </c>
      <c r="C72" s="412" t="s">
        <v>773</v>
      </c>
      <c r="D72" s="520" t="s">
        <v>53</v>
      </c>
      <c r="E72" s="993"/>
      <c r="F72" s="1093">
        <f t="shared" ref="F72:K72" si="57">F73+F74</f>
        <v>1854215.415</v>
      </c>
      <c r="G72" s="1093">
        <f t="shared" si="57"/>
        <v>0</v>
      </c>
      <c r="H72" s="1093">
        <f t="shared" si="57"/>
        <v>15588.302071794873</v>
      </c>
      <c r="I72" s="1093">
        <f t="shared" si="57"/>
        <v>22899.599999999999</v>
      </c>
      <c r="J72" s="1093">
        <f t="shared" si="57"/>
        <v>13908.5008</v>
      </c>
      <c r="K72" s="1093">
        <f t="shared" si="57"/>
        <v>17938.889104499998</v>
      </c>
      <c r="L72" s="1093">
        <f>SUM(F72:K72)</f>
        <v>1924550.706976295</v>
      </c>
      <c r="M72" s="1093">
        <f>$M$6*L72</f>
        <v>288682.60604644421</v>
      </c>
      <c r="N72" s="1093">
        <f>L72+M72</f>
        <v>2213233.3130227393</v>
      </c>
      <c r="O72" s="1093">
        <f t="shared" ref="O72:V72" si="58">O73+O74</f>
        <v>98397.760499999989</v>
      </c>
      <c r="P72" s="1232">
        <f t="shared" si="58"/>
        <v>108068.07692307694</v>
      </c>
      <c r="Q72" s="1092">
        <f t="shared" si="58"/>
        <v>2017939.365</v>
      </c>
      <c r="R72" s="1093">
        <f t="shared" si="58"/>
        <v>0</v>
      </c>
      <c r="S72" s="1093">
        <f t="shared" si="58"/>
        <v>15588.302071794873</v>
      </c>
      <c r="T72" s="1093">
        <f t="shared" si="58"/>
        <v>22899.599999999999</v>
      </c>
      <c r="U72" s="1093">
        <f t="shared" si="58"/>
        <v>13908.5008</v>
      </c>
      <c r="V72" s="1093">
        <f t="shared" si="58"/>
        <v>17938.889104499998</v>
      </c>
      <c r="W72" s="1093">
        <f>SUM(Q72:V72)</f>
        <v>2088274.6569762949</v>
      </c>
      <c r="X72" s="1093">
        <f>$M$6*W72</f>
        <v>313241.19854644424</v>
      </c>
      <c r="Y72" s="1093">
        <f>W72+X72</f>
        <v>2401515.8555227392</v>
      </c>
      <c r="Z72" s="1093">
        <f t="shared" ref="Z72:AG72" si="59">Z73+Z74</f>
        <v>112969.5255</v>
      </c>
      <c r="AA72" s="1232">
        <f t="shared" si="59"/>
        <v>124071.92307692309</v>
      </c>
      <c r="AB72" s="1093">
        <f t="shared" si="59"/>
        <v>2538161.3789999997</v>
      </c>
      <c r="AC72" s="1093">
        <f t="shared" si="59"/>
        <v>0</v>
      </c>
      <c r="AD72" s="1093">
        <f t="shared" si="59"/>
        <v>20264.792693333337</v>
      </c>
      <c r="AE72" s="1093">
        <f t="shared" si="59"/>
        <v>22899.599999999999</v>
      </c>
      <c r="AF72" s="1093">
        <f t="shared" si="59"/>
        <v>18081.051040000002</v>
      </c>
      <c r="AG72" s="1093">
        <f t="shared" si="59"/>
        <v>23320.555835849998</v>
      </c>
      <c r="AH72" s="1093">
        <f>SUM(AB72:AG72)</f>
        <v>2622727.3785691829</v>
      </c>
      <c r="AI72" s="1093">
        <f>$M$6*AH72</f>
        <v>393409.10678537743</v>
      </c>
      <c r="AJ72" s="1093">
        <f>AH72+AI72</f>
        <v>3016136.4853545604</v>
      </c>
      <c r="AK72" s="1093">
        <f>AK73+AK74</f>
        <v>144516.11849999998</v>
      </c>
      <c r="AL72" s="1232">
        <f>AL73+AL74</f>
        <v>158718.84615384619</v>
      </c>
    </row>
    <row r="73" spans="1:38" s="88" customFormat="1" ht="27.75" customHeight="1">
      <c r="A73" s="1035" t="s">
        <v>237</v>
      </c>
      <c r="B73" s="1028" t="str">
        <f>NCong!A419</f>
        <v>VII.1</v>
      </c>
      <c r="C73" s="292" t="str">
        <f>NCong!B419</f>
        <v>CÁC NỘI DUNG THỰC HIỆN TẠI ĐỊA BÀN XÃ, PHƯỜNG</v>
      </c>
      <c r="D73" s="288" t="s">
        <v>53</v>
      </c>
      <c r="E73" s="289">
        <f>NCong!E419</f>
        <v>0</v>
      </c>
      <c r="F73" s="290">
        <f>NCong!K419</f>
        <v>1854215.415</v>
      </c>
      <c r="G73" s="290"/>
      <c r="H73" s="290">
        <f>Dcu!K211</f>
        <v>15588.302071794873</v>
      </c>
      <c r="I73" s="290">
        <f>VLieu!I155</f>
        <v>22899.599999999999</v>
      </c>
      <c r="J73" s="290">
        <f>Tbi!I125</f>
        <v>13908.5008</v>
      </c>
      <c r="K73" s="290">
        <f>Tbi!I132</f>
        <v>17938.889104499998</v>
      </c>
      <c r="L73" s="290">
        <f>SUM(F73:K73)</f>
        <v>1924550.706976295</v>
      </c>
      <c r="M73" s="290">
        <f>$M$6*L73</f>
        <v>288682.60604644421</v>
      </c>
      <c r="N73" s="290">
        <f>L73+M73</f>
        <v>2213233.3130227393</v>
      </c>
      <c r="O73" s="290">
        <f>NCong!N419</f>
        <v>98397.760499999989</v>
      </c>
      <c r="P73" s="291">
        <f>NCong!Q419</f>
        <v>108068.07692307694</v>
      </c>
      <c r="Q73" s="290">
        <f>NCong!L419</f>
        <v>2017939.365</v>
      </c>
      <c r="R73" s="290"/>
      <c r="S73" s="290">
        <f>$H73</f>
        <v>15588.302071794873</v>
      </c>
      <c r="T73" s="290">
        <f>$I73</f>
        <v>22899.599999999999</v>
      </c>
      <c r="U73" s="290">
        <f>$J73</f>
        <v>13908.5008</v>
      </c>
      <c r="V73" s="290">
        <f>$K73</f>
        <v>17938.889104499998</v>
      </c>
      <c r="W73" s="290">
        <f>SUM(Q73:V73)</f>
        <v>2088274.6569762949</v>
      </c>
      <c r="X73" s="290">
        <f>$M$6*W73</f>
        <v>313241.19854644424</v>
      </c>
      <c r="Y73" s="290">
        <f>W73+X73</f>
        <v>2401515.8555227392</v>
      </c>
      <c r="Z73" s="290">
        <f>NCong!O419</f>
        <v>112969.5255</v>
      </c>
      <c r="AA73" s="291">
        <f>NCong!R419</f>
        <v>124071.92307692309</v>
      </c>
      <c r="AB73" s="290">
        <f>NCong!M419</f>
        <v>2538161.3789999997</v>
      </c>
      <c r="AC73" s="290"/>
      <c r="AD73" s="290">
        <f>$H73*1.3</f>
        <v>20264.792693333337</v>
      </c>
      <c r="AE73" s="290">
        <f>$I73</f>
        <v>22899.599999999999</v>
      </c>
      <c r="AF73" s="290">
        <f>$J73*1.3</f>
        <v>18081.051040000002</v>
      </c>
      <c r="AG73" s="290">
        <f>$K73*1.3</f>
        <v>23320.555835849998</v>
      </c>
      <c r="AH73" s="290">
        <f>SUM(AB73:AG73)</f>
        <v>2622727.3785691829</v>
      </c>
      <c r="AI73" s="290">
        <f>$M$6*AH73</f>
        <v>393409.10678537743</v>
      </c>
      <c r="AJ73" s="290">
        <f>AH73+AI73</f>
        <v>3016136.4853545604</v>
      </c>
      <c r="AK73" s="290">
        <f>NCong!P419</f>
        <v>144516.11849999998</v>
      </c>
      <c r="AL73" s="291">
        <f>NCong!S419</f>
        <v>158718.84615384619</v>
      </c>
    </row>
    <row r="74" spans="1:38" s="88" customFormat="1" ht="13.5">
      <c r="A74" s="1035" t="s">
        <v>238</v>
      </c>
      <c r="B74" s="1028">
        <f>NCong!A467</f>
        <v>0</v>
      </c>
      <c r="C74" s="292">
        <f>NCong!B467</f>
        <v>0</v>
      </c>
      <c r="D74" s="288" t="s">
        <v>53</v>
      </c>
      <c r="E74" s="289">
        <f>NCong!E467</f>
        <v>0</v>
      </c>
      <c r="F74" s="290">
        <f>NCong!K467</f>
        <v>0</v>
      </c>
      <c r="G74" s="290"/>
      <c r="H74" s="290"/>
      <c r="I74" s="290"/>
      <c r="J74" s="290"/>
      <c r="K74" s="290"/>
      <c r="L74" s="290">
        <f>SUM(F74:K74)</f>
        <v>0</v>
      </c>
      <c r="M74" s="290">
        <f>$M$6*L74</f>
        <v>0</v>
      </c>
      <c r="N74" s="290">
        <f>L74+M74</f>
        <v>0</v>
      </c>
      <c r="O74" s="290">
        <f>NCong!N467</f>
        <v>0</v>
      </c>
      <c r="P74" s="291">
        <f>NCong!Q467</f>
        <v>0</v>
      </c>
      <c r="Q74" s="290">
        <f>NCong!L467</f>
        <v>0</v>
      </c>
      <c r="R74" s="290"/>
      <c r="S74" s="290">
        <f>$H74</f>
        <v>0</v>
      </c>
      <c r="T74" s="290">
        <f>$I74</f>
        <v>0</v>
      </c>
      <c r="U74" s="290">
        <f>$J74</f>
        <v>0</v>
      </c>
      <c r="V74" s="290">
        <f>$K74</f>
        <v>0</v>
      </c>
      <c r="W74" s="290">
        <f>SUM(Q74:V74)</f>
        <v>0</v>
      </c>
      <c r="X74" s="290">
        <f>$M$6*W74</f>
        <v>0</v>
      </c>
      <c r="Y74" s="290">
        <f>W74+X74</f>
        <v>0</v>
      </c>
      <c r="Z74" s="290">
        <f>NCong!O467</f>
        <v>0</v>
      </c>
      <c r="AA74" s="291">
        <f>NCong!R467</f>
        <v>0</v>
      </c>
      <c r="AB74" s="290">
        <f>NCong!M467</f>
        <v>0</v>
      </c>
      <c r="AC74" s="290"/>
      <c r="AD74" s="290">
        <f>$H74*1.3</f>
        <v>0</v>
      </c>
      <c r="AE74" s="290">
        <f>$I74</f>
        <v>0</v>
      </c>
      <c r="AF74" s="290">
        <f>$J74*1.3</f>
        <v>0</v>
      </c>
      <c r="AG74" s="290">
        <f>$K74*1.3</f>
        <v>0</v>
      </c>
      <c r="AH74" s="290">
        <f>SUM(AB74:AG74)</f>
        <v>0</v>
      </c>
      <c r="AI74" s="290">
        <f>$M$6*AH74</f>
        <v>0</v>
      </c>
      <c r="AJ74" s="290">
        <f>AH74+AI74</f>
        <v>0</v>
      </c>
      <c r="AK74" s="290">
        <f>NCong!P467</f>
        <v>0</v>
      </c>
      <c r="AL74" s="291">
        <f>NCong!S467</f>
        <v>0</v>
      </c>
    </row>
    <row r="75" spans="1:38" s="83" customFormat="1" ht="16.899999999999999" customHeight="1">
      <c r="A75" s="1431" t="s">
        <v>239</v>
      </c>
      <c r="B75" s="1596" t="str">
        <f>NCong!A475</f>
        <v>VIII</v>
      </c>
      <c r="C75" s="1604" t="str">
        <f>NCong!B475</f>
        <v xml:space="preserve">Đăng ký biến động đất đai đối với tổ chức, tổ chức tôn giáo, tổ chức tôn giáo trực thuộc, tổ chức nước ngoài có chức năng ngoại giao, tổ chức kinh tế có vốn đầu tư nước ngoài, tổ chức nước ngoài, cá nhân nước ngoài </v>
      </c>
      <c r="D75" s="1606" t="s">
        <v>53</v>
      </c>
      <c r="E75" s="1606" t="s">
        <v>32</v>
      </c>
      <c r="F75" s="1598" t="s">
        <v>516</v>
      </c>
      <c r="G75" s="1599"/>
      <c r="H75" s="1599"/>
      <c r="I75" s="1599"/>
      <c r="J75" s="1599"/>
      <c r="K75" s="1599"/>
      <c r="L75" s="1599"/>
      <c r="M75" s="1599"/>
      <c r="N75" s="1600"/>
      <c r="O75" s="323"/>
      <c r="P75" s="319"/>
      <c r="Q75" s="1601" t="s">
        <v>517</v>
      </c>
      <c r="R75" s="1599"/>
      <c r="S75" s="1599"/>
      <c r="T75" s="1599"/>
      <c r="U75" s="1599"/>
      <c r="V75" s="1599"/>
      <c r="W75" s="1599"/>
      <c r="X75" s="1599"/>
      <c r="Y75" s="1600"/>
      <c r="Z75" s="323"/>
      <c r="AA75" s="319"/>
      <c r="AB75" s="1601" t="s">
        <v>518</v>
      </c>
      <c r="AC75" s="1599"/>
      <c r="AD75" s="1599"/>
      <c r="AE75" s="1599"/>
      <c r="AF75" s="1599"/>
      <c r="AG75" s="1599"/>
      <c r="AH75" s="1599"/>
      <c r="AI75" s="1599"/>
      <c r="AJ75" s="1600"/>
      <c r="AK75" s="323"/>
      <c r="AL75" s="319"/>
    </row>
    <row r="76" spans="1:38" s="83" customFormat="1" ht="42" customHeight="1">
      <c r="A76" s="1431"/>
      <c r="B76" s="1597"/>
      <c r="C76" s="1605"/>
      <c r="D76" s="1607"/>
      <c r="E76" s="1607"/>
      <c r="F76" s="309">
        <f t="shared" ref="F76:K76" si="60">F77+F78</f>
        <v>2610366.6419999995</v>
      </c>
      <c r="G76" s="309">
        <f t="shared" si="60"/>
        <v>0</v>
      </c>
      <c r="H76" s="309">
        <f t="shared" si="60"/>
        <v>17595.951229692309</v>
      </c>
      <c r="I76" s="309">
        <f t="shared" si="60"/>
        <v>18337</v>
      </c>
      <c r="J76" s="309">
        <f t="shared" si="60"/>
        <v>20820.4728</v>
      </c>
      <c r="K76" s="309">
        <f t="shared" si="60"/>
        <v>30241.982725500002</v>
      </c>
      <c r="L76" s="309">
        <f>SUM(F76:K76)</f>
        <v>2697362.0487551922</v>
      </c>
      <c r="M76" s="309">
        <f>$M$6*L76</f>
        <v>404604.30731327884</v>
      </c>
      <c r="N76" s="309">
        <f>L76+M76</f>
        <v>3101966.356068471</v>
      </c>
      <c r="O76" s="309">
        <f t="shared" ref="O76:V76" si="61">O77+O78</f>
        <v>168827.95799999998</v>
      </c>
      <c r="P76" s="310">
        <f t="shared" si="61"/>
        <v>185420</v>
      </c>
      <c r="Q76" s="311">
        <f t="shared" si="61"/>
        <v>2570852.8169999993</v>
      </c>
      <c r="R76" s="309">
        <f t="shared" si="61"/>
        <v>0</v>
      </c>
      <c r="S76" s="309">
        <f t="shared" si="61"/>
        <v>17595.951229692309</v>
      </c>
      <c r="T76" s="309">
        <f t="shared" si="61"/>
        <v>18337</v>
      </c>
      <c r="U76" s="309">
        <f t="shared" si="61"/>
        <v>20820.4728</v>
      </c>
      <c r="V76" s="309">
        <f t="shared" si="61"/>
        <v>30241.982725500002</v>
      </c>
      <c r="W76" s="309">
        <f>SUM(Q76:V76)</f>
        <v>2657848.223755192</v>
      </c>
      <c r="X76" s="309">
        <f>$M$6*W76</f>
        <v>398677.2335632788</v>
      </c>
      <c r="Y76" s="309">
        <f>W76+X76</f>
        <v>3056525.4573184708</v>
      </c>
      <c r="Z76" s="309">
        <f t="shared" ref="Z76:AG76" si="62">Z77+Z78</f>
        <v>168291.1035</v>
      </c>
      <c r="AA76" s="310">
        <f t="shared" si="62"/>
        <v>184830.38461538462</v>
      </c>
      <c r="AB76" s="309">
        <f t="shared" si="62"/>
        <v>3284705.9114999995</v>
      </c>
      <c r="AC76" s="309">
        <f t="shared" si="62"/>
        <v>0</v>
      </c>
      <c r="AD76" s="309">
        <f t="shared" si="62"/>
        <v>22874.736598600004</v>
      </c>
      <c r="AE76" s="309">
        <f t="shared" si="62"/>
        <v>23838.100000000002</v>
      </c>
      <c r="AF76" s="309">
        <f t="shared" si="62"/>
        <v>27066.61464</v>
      </c>
      <c r="AG76" s="309">
        <f t="shared" si="62"/>
        <v>39314.577543150008</v>
      </c>
      <c r="AH76" s="309">
        <f>SUM(AB76:AG76)</f>
        <v>3397799.9402817497</v>
      </c>
      <c r="AI76" s="309">
        <f>$M$6*AH76</f>
        <v>509669.99104226241</v>
      </c>
      <c r="AJ76" s="309">
        <f>AH76+AI76</f>
        <v>3907469.9313240121</v>
      </c>
      <c r="AK76" s="309">
        <f>AK77+AK78</f>
        <v>216608.0085</v>
      </c>
      <c r="AL76" s="310">
        <f>AL77+AL78</f>
        <v>237895.76923076922</v>
      </c>
    </row>
    <row r="77" spans="1:38" s="88" customFormat="1" ht="13.5">
      <c r="A77" s="1035" t="s">
        <v>240</v>
      </c>
      <c r="B77" s="1028" t="str">
        <f>NCong!A476</f>
        <v>VIII.1</v>
      </c>
      <c r="C77" s="292" t="str">
        <f>NCong!B476</f>
        <v>CÁC NỘI DUNG THỰC HIỆN TẠI ĐỊA BÀN CẤP TỈNH</v>
      </c>
      <c r="D77" s="288" t="s">
        <v>53</v>
      </c>
      <c r="E77" s="289">
        <f>NCong!E476</f>
        <v>0</v>
      </c>
      <c r="F77" s="290">
        <f>NCong!K476</f>
        <v>2534606.8019999997</v>
      </c>
      <c r="G77" s="290"/>
      <c r="H77" s="290">
        <f>Dcu!L229</f>
        <v>17506.401785653848</v>
      </c>
      <c r="I77" s="290">
        <f>VLieu!J176</f>
        <v>18337</v>
      </c>
      <c r="J77" s="290">
        <f>Tbi!I149</f>
        <v>20820.4728</v>
      </c>
      <c r="K77" s="290">
        <f>Tbi!I156+Dcu!L228</f>
        <v>30208.921743000003</v>
      </c>
      <c r="L77" s="290">
        <f>SUM(F77:K77)</f>
        <v>2621479.5983286537</v>
      </c>
      <c r="M77" s="290">
        <f>$M$6*L77</f>
        <v>393221.93974929804</v>
      </c>
      <c r="N77" s="290">
        <f>L77+M77</f>
        <v>3014701.5380779519</v>
      </c>
      <c r="O77" s="290">
        <f>NCong!N476</f>
        <v>162181.18799999999</v>
      </c>
      <c r="P77" s="291">
        <f>NCong!Q476</f>
        <v>178120</v>
      </c>
      <c r="Q77" s="290">
        <f>NCong!L476</f>
        <v>2495092.9769999995</v>
      </c>
      <c r="R77" s="290"/>
      <c r="S77" s="290">
        <f>$H77</f>
        <v>17506.401785653848</v>
      </c>
      <c r="T77" s="290">
        <f>$I77</f>
        <v>18337</v>
      </c>
      <c r="U77" s="290">
        <f>$J77</f>
        <v>20820.4728</v>
      </c>
      <c r="V77" s="290">
        <f>$K77</f>
        <v>30208.921743000003</v>
      </c>
      <c r="W77" s="290">
        <f>SUM(Q77:V77)</f>
        <v>2581965.7733286535</v>
      </c>
      <c r="X77" s="290">
        <f>$M$6*W77</f>
        <v>387294.865999298</v>
      </c>
      <c r="Y77" s="290">
        <f>W77+X77</f>
        <v>2969260.6393279517</v>
      </c>
      <c r="Z77" s="290">
        <f>NCong!O476</f>
        <v>161644.33350000001</v>
      </c>
      <c r="AA77" s="291">
        <f>NCong!R476</f>
        <v>177530.38461538462</v>
      </c>
      <c r="AB77" s="290">
        <f>NCong!M476</f>
        <v>3180282.7094999994</v>
      </c>
      <c r="AC77" s="290"/>
      <c r="AD77" s="290">
        <f>$H77*1.3</f>
        <v>22758.322321350002</v>
      </c>
      <c r="AE77" s="290">
        <f>$I77*1.3</f>
        <v>23838.100000000002</v>
      </c>
      <c r="AF77" s="290">
        <f>$J77*1.3</f>
        <v>27066.61464</v>
      </c>
      <c r="AG77" s="290">
        <f>$K77*1.3</f>
        <v>39271.598265900007</v>
      </c>
      <c r="AH77" s="290">
        <f>SUM(AB77:AG77)</f>
        <v>3293217.3447272494</v>
      </c>
      <c r="AI77" s="290">
        <f>$M$6*AH77</f>
        <v>493982.60170908738</v>
      </c>
      <c r="AJ77" s="290">
        <f>AH77+AI77</f>
        <v>3787199.9464363367</v>
      </c>
      <c r="AK77" s="290">
        <f>NCong!P476</f>
        <v>207455.91749999998</v>
      </c>
      <c r="AL77" s="291">
        <f>NCong!S476</f>
        <v>227844.23076923075</v>
      </c>
    </row>
    <row r="78" spans="1:38" s="88" customFormat="1" ht="27">
      <c r="A78" s="1035" t="s">
        <v>248</v>
      </c>
      <c r="B78" s="1028" t="str">
        <f>NCong!A518</f>
        <v>VIII.3</v>
      </c>
      <c r="C78" s="292" t="str">
        <f>NCong!B518</f>
        <v>CÁC NỘI DUNG THỰC HIỆN TẠI ĐỊA BÀN XÃ, PHƯỜNG,ĐẶC KHU</v>
      </c>
      <c r="D78" s="288" t="s">
        <v>53</v>
      </c>
      <c r="E78" s="289">
        <f>NCong!E518</f>
        <v>0</v>
      </c>
      <c r="F78" s="290">
        <f>NCong!K518</f>
        <v>75759.840000000011</v>
      </c>
      <c r="G78" s="290"/>
      <c r="H78" s="290">
        <f>Dcu!J229</f>
        <v>89.549444038461559</v>
      </c>
      <c r="I78" s="290">
        <f>VLieu!H176</f>
        <v>0</v>
      </c>
      <c r="J78" s="290"/>
      <c r="K78" s="290">
        <f>Dcu!J228</f>
        <v>33.060982500000001</v>
      </c>
      <c r="L78" s="290">
        <f>SUM(F78:K78)</f>
        <v>75882.450426538475</v>
      </c>
      <c r="M78" s="290">
        <f>$M$6*L78</f>
        <v>11382.367563980772</v>
      </c>
      <c r="N78" s="290">
        <f>L78+M78</f>
        <v>87264.817990519252</v>
      </c>
      <c r="O78" s="290">
        <f>NCong!N518</f>
        <v>6646.77</v>
      </c>
      <c r="P78" s="291">
        <f>NCong!Q518</f>
        <v>7300</v>
      </c>
      <c r="Q78" s="290">
        <f>NCong!L518</f>
        <v>75759.840000000011</v>
      </c>
      <c r="R78" s="290"/>
      <c r="S78" s="290">
        <f>$H78</f>
        <v>89.549444038461559</v>
      </c>
      <c r="T78" s="290">
        <f>$I78</f>
        <v>0</v>
      </c>
      <c r="U78" s="290">
        <f>$J78</f>
        <v>0</v>
      </c>
      <c r="V78" s="290">
        <f>$K78</f>
        <v>33.060982500000001</v>
      </c>
      <c r="W78" s="290">
        <f>SUM(Q78:V78)</f>
        <v>75882.450426538475</v>
      </c>
      <c r="X78" s="290">
        <f>$M$6*W78</f>
        <v>11382.367563980772</v>
      </c>
      <c r="Y78" s="290">
        <f>W78+X78</f>
        <v>87264.817990519252</v>
      </c>
      <c r="Z78" s="290">
        <f>NCong!O518</f>
        <v>6646.77</v>
      </c>
      <c r="AA78" s="291">
        <f>NCong!R518</f>
        <v>7300</v>
      </c>
      <c r="AB78" s="290">
        <f>NCong!M518</f>
        <v>104423.20199999999</v>
      </c>
      <c r="AC78" s="290"/>
      <c r="AD78" s="290">
        <f>$H78*1.3</f>
        <v>116.41427725000003</v>
      </c>
      <c r="AE78" s="290">
        <f>$I78*1.3</f>
        <v>0</v>
      </c>
      <c r="AF78" s="290">
        <f>$J78*1.3</f>
        <v>0</v>
      </c>
      <c r="AG78" s="290">
        <f>$K78*1.3</f>
        <v>42.979277250000003</v>
      </c>
      <c r="AH78" s="290">
        <f>SUM(AB78:AG78)</f>
        <v>104582.59555449999</v>
      </c>
      <c r="AI78" s="290">
        <f>$M$6*AH78</f>
        <v>15687.389333174997</v>
      </c>
      <c r="AJ78" s="290">
        <f>AH78+AI78</f>
        <v>120269.98488767499</v>
      </c>
      <c r="AK78" s="290">
        <f>NCong!P518</f>
        <v>9152.0910000000003</v>
      </c>
      <c r="AL78" s="291">
        <f>NCong!S518</f>
        <v>10051.538461538463</v>
      </c>
    </row>
    <row r="79" spans="1:38" s="86" customFormat="1" ht="18" customHeight="1">
      <c r="A79" s="520" t="s">
        <v>705</v>
      </c>
      <c r="B79" s="1032" t="s">
        <v>705</v>
      </c>
      <c r="C79" s="314" t="str">
        <f>NCong!B528</f>
        <v>TRÍCH LỤC HỒ SƠ ĐỊA CHÍNH</v>
      </c>
      <c r="D79" s="313" t="s">
        <v>53</v>
      </c>
      <c r="E79" s="313">
        <v>1</v>
      </c>
      <c r="F79" s="253">
        <f>NCong!I528</f>
        <v>59354.100000000006</v>
      </c>
      <c r="G79" s="253"/>
      <c r="H79" s="253">
        <f>Dcu!J249</f>
        <v>976.95772709790219</v>
      </c>
      <c r="I79" s="253">
        <f>VLieu!H189</f>
        <v>15597</v>
      </c>
      <c r="J79" s="253">
        <f>Tbi!I163</f>
        <v>2433.2399999999998</v>
      </c>
      <c r="K79" s="253">
        <f>Tbi!I168+Dcu!J248</f>
        <v>4809.2709210000012</v>
      </c>
      <c r="L79" s="253">
        <f>SUM(F79:K79)</f>
        <v>83170.56864809792</v>
      </c>
      <c r="M79" s="253">
        <f>$M$6*L79</f>
        <v>12475.585297214688</v>
      </c>
      <c r="N79" s="253">
        <f>L79+M79</f>
        <v>95646.153945312602</v>
      </c>
      <c r="O79" s="253">
        <f>NCong!J528</f>
        <v>5112.9000000000005</v>
      </c>
      <c r="P79" s="254">
        <f>NCong!K528</f>
        <v>5615.3846153846162</v>
      </c>
    </row>
    <row r="80" spans="1:38" s="86" customFormat="1">
      <c r="A80" s="520"/>
      <c r="B80" s="1033"/>
      <c r="C80" s="269" t="str">
        <f>NCong!B536</f>
        <v>Ghi chú:</v>
      </c>
      <c r="D80" s="270"/>
      <c r="E80" s="270"/>
      <c r="F80" s="307"/>
      <c r="G80" s="307"/>
      <c r="H80" s="307"/>
      <c r="I80" s="307"/>
      <c r="J80" s="307"/>
      <c r="K80" s="307"/>
      <c r="L80" s="307"/>
      <c r="M80" s="307"/>
      <c r="N80" s="307"/>
      <c r="O80" s="307"/>
      <c r="P80" s="308"/>
    </row>
    <row r="81" spans="1:16" ht="25.5">
      <c r="A81" s="523">
        <v>1</v>
      </c>
      <c r="B81" s="1029">
        <f>NCong!A537</f>
        <v>1</v>
      </c>
      <c r="C81" s="312" t="str">
        <f>NCong!B537</f>
        <v>Trường hợp trích lục hồ sơ cho 01 khu đất (gồm nhiều thửa) mức áp dụng như sau:</v>
      </c>
      <c r="D81" s="78" t="s">
        <v>53</v>
      </c>
      <c r="E81" s="78"/>
      <c r="F81" s="116"/>
      <c r="G81" s="116"/>
      <c r="H81" s="116"/>
      <c r="I81" s="116"/>
      <c r="J81" s="116"/>
      <c r="K81" s="116"/>
      <c r="L81" s="116">
        <f>SUM(F81:K81)</f>
        <v>0</v>
      </c>
      <c r="M81" s="116">
        <f>$M$6*L81</f>
        <v>0</v>
      </c>
      <c r="N81" s="116">
        <f>L81+M81</f>
        <v>0</v>
      </c>
      <c r="O81" s="116"/>
      <c r="P81" s="113"/>
    </row>
    <row r="82" spans="1:16" ht="25.5">
      <c r="A82" s="523">
        <v>0</v>
      </c>
      <c r="B82" s="1029">
        <f>NCong!A538</f>
        <v>0</v>
      </c>
      <c r="C82" s="312" t="str">
        <f>NCong!B538</f>
        <v>- Dưới 05 thửa: Mức cho một thửa tính bằng 0,80 mức quy định tại Bảng 14;</v>
      </c>
      <c r="D82" s="78" t="s">
        <v>53</v>
      </c>
      <c r="E82" s="78"/>
      <c r="F82" s="116">
        <f t="shared" ref="F82:K82" si="63">F$79*0.8</f>
        <v>47483.280000000006</v>
      </c>
      <c r="G82" s="116">
        <f t="shared" si="63"/>
        <v>0</v>
      </c>
      <c r="H82" s="116">
        <f t="shared" si="63"/>
        <v>781.56618167832175</v>
      </c>
      <c r="I82" s="116">
        <f t="shared" si="63"/>
        <v>12477.6</v>
      </c>
      <c r="J82" s="116">
        <f t="shared" si="63"/>
        <v>1946.5919999999999</v>
      </c>
      <c r="K82" s="116">
        <f t="shared" si="63"/>
        <v>3847.4167368000012</v>
      </c>
      <c r="L82" s="116">
        <f>SUM(F82:K82)</f>
        <v>66536.454918478325</v>
      </c>
      <c r="M82" s="116">
        <f>$M$6*L82</f>
        <v>9980.468237771749</v>
      </c>
      <c r="N82" s="116">
        <f>L82+M82</f>
        <v>76516.923156250079</v>
      </c>
      <c r="O82" s="116">
        <f>O$79*0.8</f>
        <v>4090.3200000000006</v>
      </c>
      <c r="P82" s="113">
        <f>P$79*0.8</f>
        <v>4492.3076923076933</v>
      </c>
    </row>
    <row r="83" spans="1:16" ht="25.5">
      <c r="A83" s="523">
        <v>0</v>
      </c>
      <c r="B83" s="1029">
        <f>NCong!A539</f>
        <v>0</v>
      </c>
      <c r="C83" s="312" t="str">
        <f>NCong!B539</f>
        <v>- Từ 05 thửa đến 10 thửa: Mức cho một thửa tính bằng 0,65 mức quy định tại Bảng 14;</v>
      </c>
      <c r="D83" s="78" t="s">
        <v>53</v>
      </c>
      <c r="E83" s="78"/>
      <c r="F83" s="116">
        <f t="shared" ref="F83:K83" si="64">F$79*0.65</f>
        <v>38580.165000000008</v>
      </c>
      <c r="G83" s="116">
        <f t="shared" si="64"/>
        <v>0</v>
      </c>
      <c r="H83" s="116">
        <f t="shared" si="64"/>
        <v>635.0225226136364</v>
      </c>
      <c r="I83" s="116">
        <f t="shared" si="64"/>
        <v>10138.050000000001</v>
      </c>
      <c r="J83" s="116">
        <f t="shared" si="64"/>
        <v>1581.606</v>
      </c>
      <c r="K83" s="116">
        <f t="shared" si="64"/>
        <v>3126.0260986500007</v>
      </c>
      <c r="L83" s="116">
        <f>SUM(F83:K83)</f>
        <v>54060.86962126365</v>
      </c>
      <c r="M83" s="116">
        <f>$M$6*L83</f>
        <v>8109.1304431895469</v>
      </c>
      <c r="N83" s="116">
        <f>L83+M83</f>
        <v>62170.000064453197</v>
      </c>
      <c r="O83" s="116">
        <f>O$79*0.65</f>
        <v>3323.3850000000007</v>
      </c>
      <c r="P83" s="113">
        <f>P$79*0.65</f>
        <v>3650.0000000000005</v>
      </c>
    </row>
    <row r="84" spans="1:16" ht="25.5">
      <c r="A84" s="523">
        <v>0</v>
      </c>
      <c r="B84" s="1034">
        <f>NCong!A540</f>
        <v>0</v>
      </c>
      <c r="C84" s="516" t="str">
        <f>NCong!B540</f>
        <v>- Trên 10 thửa: Mức cho một thửa tính bằng 0,50 mức quy định tại Bảng 14.</v>
      </c>
      <c r="D84" s="128" t="s">
        <v>53</v>
      </c>
      <c r="E84" s="128"/>
      <c r="F84" s="321">
        <f t="shared" ref="F84:K84" si="65">F$79*0.5</f>
        <v>29677.050000000003</v>
      </c>
      <c r="G84" s="321">
        <f t="shared" si="65"/>
        <v>0</v>
      </c>
      <c r="H84" s="321">
        <f t="shared" si="65"/>
        <v>488.4788635489511</v>
      </c>
      <c r="I84" s="321">
        <f t="shared" si="65"/>
        <v>7798.5</v>
      </c>
      <c r="J84" s="321">
        <f t="shared" si="65"/>
        <v>1216.6199999999999</v>
      </c>
      <c r="K84" s="321">
        <f t="shared" si="65"/>
        <v>2404.6354605000006</v>
      </c>
      <c r="L84" s="321">
        <f>SUM(F84:K84)</f>
        <v>41585.28432404896</v>
      </c>
      <c r="M84" s="321">
        <f>$M$6*L84</f>
        <v>6237.7926486073438</v>
      </c>
      <c r="N84" s="321">
        <f>L84+M84</f>
        <v>47823.076972656301</v>
      </c>
      <c r="O84" s="321">
        <f>O$79*0.5</f>
        <v>2556.4500000000003</v>
      </c>
      <c r="P84" s="322">
        <f>P$79*0.5</f>
        <v>2807.6923076923081</v>
      </c>
    </row>
  </sheetData>
  <mergeCells count="106">
    <mergeCell ref="A67:A68"/>
    <mergeCell ref="A75:A76"/>
    <mergeCell ref="A10:A12"/>
    <mergeCell ref="A25:A27"/>
    <mergeCell ref="A28:A30"/>
    <mergeCell ref="A37:A40"/>
    <mergeCell ref="A41:A43"/>
    <mergeCell ref="A48:A50"/>
    <mergeCell ref="AJ4:AJ6"/>
    <mergeCell ref="A4:A6"/>
    <mergeCell ref="A7:A9"/>
    <mergeCell ref="Z4:Z5"/>
    <mergeCell ref="R4:R6"/>
    <mergeCell ref="C7:C9"/>
    <mergeCell ref="D7:D9"/>
    <mergeCell ref="A51:A53"/>
    <mergeCell ref="A64:A65"/>
    <mergeCell ref="P4:P6"/>
    <mergeCell ref="AB75:AJ75"/>
    <mergeCell ref="B67:B68"/>
    <mergeCell ref="C67:C68"/>
    <mergeCell ref="D67:D68"/>
    <mergeCell ref="E67:E68"/>
    <mergeCell ref="F71:N71"/>
    <mergeCell ref="AK4:AK5"/>
    <mergeCell ref="AL4:AL6"/>
    <mergeCell ref="AC4:AC6"/>
    <mergeCell ref="AD4:AD6"/>
    <mergeCell ref="AE4:AE6"/>
    <mergeCell ref="AF4:AF6"/>
    <mergeCell ref="AG4:AG6"/>
    <mergeCell ref="AH4:AH6"/>
    <mergeCell ref="B37:B40"/>
    <mergeCell ref="C37:C40"/>
    <mergeCell ref="S4:S6"/>
    <mergeCell ref="T4:T6"/>
    <mergeCell ref="U4:U6"/>
    <mergeCell ref="V4:V6"/>
    <mergeCell ref="J4:J6"/>
    <mergeCell ref="K4:K6"/>
    <mergeCell ref="D25:D27"/>
    <mergeCell ref="Q4:Q6"/>
    <mergeCell ref="F37:N37"/>
    <mergeCell ref="Q37:Y37"/>
    <mergeCell ref="W4:W6"/>
    <mergeCell ref="X4:X5"/>
    <mergeCell ref="Y4:Y6"/>
    <mergeCell ref="AA4:AA6"/>
    <mergeCell ref="AB71:AJ71"/>
    <mergeCell ref="Q67:Y67"/>
    <mergeCell ref="AB67:AJ67"/>
    <mergeCell ref="B48:B50"/>
    <mergeCell ref="C48:C50"/>
    <mergeCell ref="C51:C53"/>
    <mergeCell ref="D48:D50"/>
    <mergeCell ref="B51:B53"/>
    <mergeCell ref="D51:D53"/>
    <mergeCell ref="B64:B65"/>
    <mergeCell ref="C64:C65"/>
    <mergeCell ref="AB64:AJ64"/>
    <mergeCell ref="B1:O1"/>
    <mergeCell ref="B2:O2"/>
    <mergeCell ref="K3:M3"/>
    <mergeCell ref="M4:M5"/>
    <mergeCell ref="I4:I6"/>
    <mergeCell ref="N4:N6"/>
    <mergeCell ref="B4:B6"/>
    <mergeCell ref="B7:B9"/>
    <mergeCell ref="C28:C30"/>
    <mergeCell ref="D28:D30"/>
    <mergeCell ref="B25:B27"/>
    <mergeCell ref="B28:B30"/>
    <mergeCell ref="C25:C27"/>
    <mergeCell ref="B10:B12"/>
    <mergeCell ref="C4:C6"/>
    <mergeCell ref="E4:E6"/>
    <mergeCell ref="F4:F6"/>
    <mergeCell ref="G4:G6"/>
    <mergeCell ref="O4:O5"/>
    <mergeCell ref="H4:H6"/>
    <mergeCell ref="D4:D6"/>
    <mergeCell ref="L4:L6"/>
    <mergeCell ref="AB4:AB6"/>
    <mergeCell ref="AI4:AI5"/>
    <mergeCell ref="B75:B76"/>
    <mergeCell ref="F24:N24"/>
    <mergeCell ref="Q24:Y24"/>
    <mergeCell ref="B41:B43"/>
    <mergeCell ref="C41:C43"/>
    <mergeCell ref="C75:C76"/>
    <mergeCell ref="D75:D76"/>
    <mergeCell ref="E75:E76"/>
    <mergeCell ref="D41:D43"/>
    <mergeCell ref="F67:N67"/>
    <mergeCell ref="F75:N75"/>
    <mergeCell ref="Q75:Y75"/>
    <mergeCell ref="Q71:Y71"/>
    <mergeCell ref="D38:D40"/>
    <mergeCell ref="C10:C12"/>
    <mergeCell ref="D10:D12"/>
    <mergeCell ref="AB37:AJ37"/>
    <mergeCell ref="D64:D65"/>
    <mergeCell ref="E64:E65"/>
    <mergeCell ref="AB24:AJ24"/>
    <mergeCell ref="F64:N64"/>
    <mergeCell ref="Q64:Y64"/>
  </mergeCells>
  <phoneticPr fontId="4" type="noConversion"/>
  <printOptions horizontalCentered="1"/>
  <pageMargins left="1.5" right="0.196850393700787" top="0.78740157480314998" bottom="0.39370078740157499" header="0.39370078740157499" footer="0.39370078740157499"/>
  <pageSetup scale="60" firstPageNumber="23" pageOrder="overThenDown" orientation="landscape" useFirstPageNumber="1" r:id="rId1"/>
  <headerFooter alignWithMargins="0">
    <oddFooter>Page &amp;P</oddFooter>
  </headerFooter>
  <rowBreaks count="4" manualBreakCount="4">
    <brk id="23" max="16383" man="1"/>
    <brk id="47" max="16383" man="1"/>
    <brk id="63" max="16383" man="1"/>
    <brk id="78" max="16383" man="1"/>
  </rowBreaks>
  <ignoredErrors>
    <ignoredError sqref="O22:P22 AC25:AC27 P68 R25:R30" formula="1"/>
    <ignoredError sqref="E28:I30 E40 E27 E26 E39" numberStoredAsText="1"/>
    <ignoredError sqref="G26:G27" numberStoredAsText="1"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FF0000"/>
  </sheetPr>
  <dimension ref="A1:P55"/>
  <sheetViews>
    <sheetView showZeros="0" tabSelected="1" topLeftCell="A25" zoomScale="130" zoomScaleNormal="130" workbookViewId="0">
      <selection activeCell="U40" sqref="U40"/>
    </sheetView>
  </sheetViews>
  <sheetFormatPr defaultColWidth="9" defaultRowHeight="12.75"/>
  <cols>
    <col min="1" max="1" width="6.109375" style="84" customWidth="1"/>
    <col min="2" max="2" width="34.44140625" style="85" customWidth="1"/>
    <col min="3" max="3" width="5.109375" style="84" bestFit="1" customWidth="1"/>
    <col min="4" max="4" width="4.21875" style="84" bestFit="1" customWidth="1"/>
    <col min="5" max="5" width="8" style="85" bestFit="1" customWidth="1"/>
    <col min="6" max="6" width="6.77734375" style="85" bestFit="1" customWidth="1"/>
    <col min="7" max="7" width="6.6640625" style="85" bestFit="1" customWidth="1"/>
    <col min="8" max="8" width="8" style="85" bestFit="1" customWidth="1"/>
    <col min="9" max="9" width="6.44140625" style="85" bestFit="1" customWidth="1"/>
    <col min="10" max="10" width="6.33203125" style="85" bestFit="1" customWidth="1"/>
    <col min="11" max="11" width="8.109375" style="85" customWidth="1"/>
    <col min="12" max="12" width="6.77734375" style="85" bestFit="1" customWidth="1"/>
    <col min="13" max="13" width="8" style="286" bestFit="1" customWidth="1"/>
    <col min="14" max="14" width="6.77734375" style="85" hidden="1" customWidth="1"/>
    <col min="15" max="15" width="7.21875" style="85" hidden="1" customWidth="1"/>
    <col min="16" max="16" width="0" style="85" hidden="1" customWidth="1"/>
    <col min="17" max="16384" width="9" style="85"/>
  </cols>
  <sheetData>
    <row r="1" spans="1:16" ht="25.5" customHeight="1">
      <c r="A1" s="1544" t="s">
        <v>560</v>
      </c>
      <c r="B1" s="1544"/>
      <c r="C1" s="1544"/>
      <c r="D1" s="1544"/>
      <c r="E1" s="1544"/>
      <c r="F1" s="1544"/>
      <c r="G1" s="1544"/>
      <c r="H1" s="1544"/>
      <c r="I1" s="1544"/>
      <c r="J1" s="1544"/>
      <c r="K1" s="1544"/>
      <c r="L1" s="1544"/>
      <c r="M1" s="1544"/>
      <c r="N1" s="1544"/>
      <c r="O1" s="517"/>
      <c r="P1" s="517"/>
    </row>
    <row r="2" spans="1:16" s="86" customFormat="1">
      <c r="A2" s="1617"/>
      <c r="B2" s="1617"/>
      <c r="C2" s="1617"/>
      <c r="D2" s="1617"/>
      <c r="E2" s="1617"/>
      <c r="F2" s="1617"/>
      <c r="G2" s="1617"/>
      <c r="H2" s="1617"/>
      <c r="I2" s="1617"/>
      <c r="J2" s="1617"/>
      <c r="K2" s="1617"/>
      <c r="L2" s="1617"/>
      <c r="M2" s="1617"/>
      <c r="N2" s="1617"/>
    </row>
    <row r="3" spans="1:16" ht="13.5">
      <c r="A3" s="87">
        <f>DGSP_ChiTiet!B3</f>
        <v>0</v>
      </c>
      <c r="B3" s="88">
        <f>DGSP_ChiTiet!C3</f>
        <v>0</v>
      </c>
      <c r="C3" s="84">
        <f>DGSP_ChiTiet!D3</f>
        <v>0</v>
      </c>
      <c r="D3" s="84">
        <f>DGSP_ChiTiet!E3</f>
        <v>0</v>
      </c>
      <c r="E3" s="85">
        <f>DGSP_ChiTiet!F3</f>
        <v>0</v>
      </c>
      <c r="F3" s="85">
        <f>DGSP_ChiTiet!G3</f>
        <v>0</v>
      </c>
      <c r="G3" s="85">
        <f>DGSP_ChiTiet!H3</f>
        <v>0</v>
      </c>
      <c r="H3" s="85">
        <f>DGSP_ChiTiet!I3</f>
        <v>0</v>
      </c>
      <c r="I3" s="85">
        <f>DGSP_ChiTiet!J3</f>
        <v>0</v>
      </c>
      <c r="J3" s="1618">
        <f>DGSP_ChiTiet!K3</f>
        <v>0</v>
      </c>
      <c r="K3" s="1618">
        <f>DGSP_ChiTiet!L3</f>
        <v>0</v>
      </c>
      <c r="L3" s="1618">
        <f>DGSP_ChiTiet!M3</f>
        <v>0</v>
      </c>
      <c r="M3" s="89">
        <f>DGSP_ChiTiet!N3</f>
        <v>0</v>
      </c>
      <c r="N3" s="85">
        <f>DGSP_ChiTiet!O3</f>
        <v>0</v>
      </c>
      <c r="O3" s="85">
        <f>DGSP_ChiTiet!P3</f>
        <v>0</v>
      </c>
    </row>
    <row r="4" spans="1:16" s="83" customFormat="1">
      <c r="A4" s="1619" t="str">
        <f>DGSP_ChiTiet!B4</f>
        <v>Số
TT</v>
      </c>
      <c r="B4" s="1619" t="str">
        <f>DGSP_ChiTiet!C4</f>
        <v>Danh mục sản phẩm</v>
      </c>
      <c r="C4" s="1619" t="str">
        <f>DGSP_ChiTiet!D4</f>
        <v>ĐVT</v>
      </c>
      <c r="D4" s="1619" t="str">
        <f>DGSP_ChiTiet!E4</f>
        <v>Loại
KK</v>
      </c>
      <c r="E4" s="1619" t="str">
        <f>DGSP_ChiTiet!F4</f>
        <v>Chi phí
LĐKT</v>
      </c>
      <c r="F4" s="1619" t="str">
        <f>DGSP_ChiTiet!G4</f>
        <v>Chi phí
LĐPT</v>
      </c>
      <c r="G4" s="1619" t="str">
        <f>DGSP_ChiTiet!H4</f>
        <v>Chi phí
dụng cụ</v>
      </c>
      <c r="H4" s="1619" t="str">
        <f>DGSP_ChiTiet!I4</f>
        <v>Chi phí
vật liệu</v>
      </c>
      <c r="I4" s="1619" t="str">
        <f>DGSP_ChiTiet!J4</f>
        <v>Chi phí
khấu
hao</v>
      </c>
      <c r="J4" s="1619" t="str">
        <f>DGSP_ChiTiet!K4</f>
        <v>Chi phí
năng
lượng</v>
      </c>
      <c r="K4" s="1619" t="str">
        <f>DGSP_ChiTiet!L4</f>
        <v>Chi phí
trực tiếp (A1)</v>
      </c>
      <c r="L4" s="1619" t="str">
        <f>DGSP_ChiTiet!M4</f>
        <v>Chi phí
chung</v>
      </c>
      <c r="M4" s="1654" t="str">
        <f>DGSP_ChiTiet!N4</f>
        <v>Đơn giá
sản phẩm</v>
      </c>
      <c r="N4" s="1619" t="str">
        <f>DGSP_ChiTiet!O4</f>
        <v>PCKV</v>
      </c>
      <c r="O4" s="1653" t="str">
        <f>DGSP_ChiTiet!P4</f>
        <v>Ăn ca</v>
      </c>
    </row>
    <row r="5" spans="1:16" s="83" customFormat="1">
      <c r="A5" s="1619">
        <f>DGSP_ChiTiet!B5</f>
        <v>0</v>
      </c>
      <c r="B5" s="1619">
        <f>DGSP_ChiTiet!C5</f>
        <v>0</v>
      </c>
      <c r="C5" s="1619">
        <f>DGSP_ChiTiet!D5</f>
        <v>0</v>
      </c>
      <c r="D5" s="1619">
        <f>DGSP_ChiTiet!E5</f>
        <v>0</v>
      </c>
      <c r="E5" s="1619">
        <f>DGSP_ChiTiet!F5</f>
        <v>0</v>
      </c>
      <c r="F5" s="1619">
        <f>DGSP_ChiTiet!G5</f>
        <v>0</v>
      </c>
      <c r="G5" s="1619" t="str">
        <f>DGSP_ChiTiet!H5</f>
        <v>dụng cụ</v>
      </c>
      <c r="H5" s="1619">
        <f>DGSP_ChiTiet!I5</f>
        <v>0</v>
      </c>
      <c r="I5" s="1619">
        <f>DGSP_ChiTiet!J5</f>
        <v>0</v>
      </c>
      <c r="J5" s="1619">
        <f>DGSP_ChiTiet!K5</f>
        <v>0</v>
      </c>
      <c r="K5" s="1619">
        <f>DGSP_ChiTiet!L5</f>
        <v>0</v>
      </c>
      <c r="L5" s="1619" t="str">
        <f>DGSP_ChiTiet!M5</f>
        <v>chung</v>
      </c>
      <c r="M5" s="1654">
        <f>DGSP_ChiTiet!N5</f>
        <v>0</v>
      </c>
      <c r="N5" s="1619">
        <f>DGSP_ChiTiet!O5</f>
        <v>0</v>
      </c>
      <c r="O5" s="1653">
        <f>DGSP_ChiTiet!P5</f>
        <v>0</v>
      </c>
    </row>
    <row r="6" spans="1:16" s="83" customFormat="1" ht="13.5" thickBot="1">
      <c r="A6" s="1639">
        <f>DGSP_ChiTiet!B6</f>
        <v>0</v>
      </c>
      <c r="B6" s="1639">
        <f>DGSP_ChiTiet!C6</f>
        <v>0</v>
      </c>
      <c r="C6" s="1639">
        <f>DGSP_ChiTiet!D6</f>
        <v>0</v>
      </c>
      <c r="D6" s="1639">
        <f>DGSP_ChiTiet!E6</f>
        <v>0</v>
      </c>
      <c r="E6" s="1639">
        <f>DGSP_ChiTiet!F6</f>
        <v>0</v>
      </c>
      <c r="F6" s="1639">
        <f>DGSP_ChiTiet!G6</f>
        <v>0</v>
      </c>
      <c r="G6" s="1639">
        <f>DGSP_ChiTiet!H6</f>
        <v>0</v>
      </c>
      <c r="H6" s="1639">
        <f>DGSP_ChiTiet!I6</f>
        <v>0</v>
      </c>
      <c r="I6" s="1639">
        <f>DGSP_ChiTiet!J6</f>
        <v>0</v>
      </c>
      <c r="J6" s="1639">
        <f>DGSP_ChiTiet!K6</f>
        <v>0</v>
      </c>
      <c r="K6" s="1639">
        <f>DGSP_ChiTiet!L6</f>
        <v>0</v>
      </c>
      <c r="L6" s="1023">
        <f>DGSP_ChiTiet!M6</f>
        <v>0.15</v>
      </c>
      <c r="M6" s="1655">
        <f>DGSP_ChiTiet!N6</f>
        <v>0</v>
      </c>
      <c r="N6" s="519">
        <f>DGSP_ChiTiet!O6</f>
        <v>0.2</v>
      </c>
      <c r="O6" s="1653">
        <f>DGSP_ChiTiet!P6</f>
        <v>0</v>
      </c>
    </row>
    <row r="7" spans="1:16" s="86" customFormat="1" ht="18" customHeight="1">
      <c r="A7" s="1650" t="str">
        <f>DGSP_ChiTiet!B7</f>
        <v>I</v>
      </c>
      <c r="B7" s="1651" t="str">
        <f>DGSP_ChiTiet!C7</f>
        <v>ĐĂNG KÝ, CẤP GIẤY CHỨNG NHẬN LẦN ĐẦU ĐỒNG LOẠT ĐỐI VỚI HỘ GIA ĐÌNH, CÁ NHÂN Ở XÃ (CHƯA BAO GỒM QUÉT HỒ SƠ)</v>
      </c>
      <c r="C7" s="1640" t="str">
        <f>DGSP_ChiTiet!D7</f>
        <v>Hồ sơ</v>
      </c>
      <c r="D7" s="1024">
        <f>DGSP_ChiTiet!E7</f>
        <v>1</v>
      </c>
      <c r="E7" s="1025">
        <f>NCong!I6</f>
        <v>719969.23439999996</v>
      </c>
      <c r="F7" s="1025">
        <f>DGSP_ChiTiet!G7</f>
        <v>45890.096153846156</v>
      </c>
      <c r="G7" s="1025">
        <f>DGSP_ChiTiet!H7</f>
        <v>9620.4272033628222</v>
      </c>
      <c r="H7" s="1025">
        <f>DGSP_ChiTiet!I7</f>
        <v>43821.94</v>
      </c>
      <c r="I7" s="1025">
        <f>DGSP_ChiTiet!J7</f>
        <v>9066.1517999999996</v>
      </c>
      <c r="J7" s="1025">
        <f>DGSP_ChiTiet!K7</f>
        <v>10350.291588</v>
      </c>
      <c r="K7" s="1025">
        <f>DGSP_ChiTiet!L7</f>
        <v>838718.14114520897</v>
      </c>
      <c r="L7" s="1025">
        <f>DGSP_ChiTiet!M7</f>
        <v>125807.72117178133</v>
      </c>
      <c r="M7" s="1026">
        <f>DGSP_ChiTiet!N7</f>
        <v>964525.86231699027</v>
      </c>
      <c r="N7" s="1002">
        <f>DGSP_ChiTiet!O7</f>
        <v>860162.34037499991</v>
      </c>
      <c r="O7" s="294">
        <f>DGSP_ChiTiet!P7</f>
        <v>180645.16826923078</v>
      </c>
      <c r="P7" s="1060">
        <f>K7+L7</f>
        <v>964525.86231699027</v>
      </c>
    </row>
    <row r="8" spans="1:16" s="86" customFormat="1" ht="18" customHeight="1">
      <c r="A8" s="1637">
        <f>DGSP_ChiTiet!B8</f>
        <v>0</v>
      </c>
      <c r="B8" s="1425">
        <f>DGSP_ChiTiet!C8</f>
        <v>0</v>
      </c>
      <c r="C8" s="1632">
        <f>DGSP_ChiTiet!D8</f>
        <v>0</v>
      </c>
      <c r="D8" s="521">
        <f>DGSP_ChiTiet!E8</f>
        <v>2</v>
      </c>
      <c r="E8" s="294">
        <f>NCong!I8</f>
        <v>771287.18939999992</v>
      </c>
      <c r="F8" s="294">
        <f>DGSP_ChiTiet!G8</f>
        <v>54986.25</v>
      </c>
      <c r="G8" s="294">
        <f>DGSP_ChiTiet!H8</f>
        <v>10599.706408025642</v>
      </c>
      <c r="H8" s="294">
        <f>DGSP_ChiTiet!I8</f>
        <v>43821.94</v>
      </c>
      <c r="I8" s="294">
        <f>DGSP_ChiTiet!J8</f>
        <v>9066.1517999999996</v>
      </c>
      <c r="J8" s="294">
        <f>DGSP_ChiTiet!K8</f>
        <v>10350.291588</v>
      </c>
      <c r="K8" s="294">
        <f>DGSP_ChiTiet!L8</f>
        <v>900111.52919602569</v>
      </c>
      <c r="L8" s="294">
        <f>DGSP_ChiTiet!M8</f>
        <v>135016.72937940384</v>
      </c>
      <c r="M8" s="1009">
        <f>DGSP_ChiTiet!N8</f>
        <v>1035128.2585754296</v>
      </c>
      <c r="N8" s="1002">
        <f>DGSP_ChiTiet!O8</f>
        <v>860162.34037499991</v>
      </c>
      <c r="O8" s="294">
        <f>DGSP_ChiTiet!P8</f>
        <v>242189.78365384616</v>
      </c>
      <c r="P8" s="1060">
        <f t="shared" ref="P8:P53" si="0">K8+L8</f>
        <v>1035128.2585754296</v>
      </c>
    </row>
    <row r="9" spans="1:16" s="86" customFormat="1" ht="18" customHeight="1" thickBot="1">
      <c r="A9" s="1638">
        <f>DGSP_ChiTiet!B9</f>
        <v>0</v>
      </c>
      <c r="B9" s="1652">
        <f>DGSP_ChiTiet!C9</f>
        <v>0</v>
      </c>
      <c r="C9" s="1635">
        <f>DGSP_ChiTiet!D9</f>
        <v>0</v>
      </c>
      <c r="D9" s="1027">
        <f>DGSP_ChiTiet!E9</f>
        <v>3</v>
      </c>
      <c r="E9" s="1011">
        <f>NCong!I10</f>
        <v>832868.73540000001</v>
      </c>
      <c r="F9" s="1011">
        <f>DGSP_ChiTiet!G9</f>
        <v>65901.634615384624</v>
      </c>
      <c r="G9" s="1011">
        <f>DGSP_ChiTiet!H9</f>
        <v>11578.985612688464</v>
      </c>
      <c r="H9" s="1011">
        <f>DGSP_ChiTiet!I9</f>
        <v>43821.94</v>
      </c>
      <c r="I9" s="1011">
        <f>DGSP_ChiTiet!J9</f>
        <v>9066.1517999999996</v>
      </c>
      <c r="J9" s="1011">
        <f>DGSP_ChiTiet!K9</f>
        <v>10350.291588</v>
      </c>
      <c r="K9" s="1011">
        <f>DGSP_ChiTiet!L9</f>
        <v>973587.73901607317</v>
      </c>
      <c r="L9" s="1011">
        <f>DGSP_ChiTiet!M9</f>
        <v>146038.16085241098</v>
      </c>
      <c r="M9" s="1012">
        <f>DGSP_ChiTiet!N9</f>
        <v>1119625.8998684841</v>
      </c>
      <c r="N9" s="1002">
        <f>DGSP_ChiTiet!O9</f>
        <v>893293.93237499997</v>
      </c>
      <c r="O9" s="294">
        <f>DGSP_ChiTiet!P9</f>
        <v>244435.93750000003</v>
      </c>
      <c r="P9" s="1060">
        <f t="shared" si="0"/>
        <v>1119625.8998684841</v>
      </c>
    </row>
    <row r="10" spans="1:16" s="83" customFormat="1">
      <c r="A10" s="1646" t="str">
        <f>DGSP_ChiTiet!B24</f>
        <v>II</v>
      </c>
      <c r="B10" s="1643" t="str">
        <f>DGSP_ChiTiet!C24</f>
        <v>Đăng ký, cấp Giấy chứng nhận lần đầu đơn lẻ đối với hộ gia đình, cá nhân, cộng đồng dân cư, tổ chức trong nước, người gốc Việt Nam định cư ở nước ngoài tại địa bàn cấp xã, phường</v>
      </c>
      <c r="C10" s="1008">
        <f>DGSP_ChiTiet!D24</f>
        <v>0</v>
      </c>
      <c r="D10" s="1008">
        <f>DGSP_ChiTiet!E24</f>
        <v>0</v>
      </c>
      <c r="E10" s="1641" t="str">
        <f>DGSP_ChiTiet!F24</f>
        <v>Đăng ký cấp GCN đối với đất</v>
      </c>
      <c r="F10" s="1641"/>
      <c r="G10" s="1641"/>
      <c r="H10" s="1641"/>
      <c r="I10" s="1641"/>
      <c r="J10" s="1641"/>
      <c r="K10" s="1641"/>
      <c r="L10" s="1641"/>
      <c r="M10" s="1642"/>
      <c r="N10" s="1022">
        <f>DGSP_ChiTiet!O24</f>
        <v>0</v>
      </c>
      <c r="O10" s="523">
        <f>DGSP_ChiTiet!P24</f>
        <v>0</v>
      </c>
      <c r="P10" s="1060">
        <f t="shared" si="0"/>
        <v>0</v>
      </c>
    </row>
    <row r="11" spans="1:16" s="86" customFormat="1" ht="14.25" customHeight="1">
      <c r="A11" s="1647"/>
      <c r="B11" s="1644"/>
      <c r="C11" s="1632" t="str">
        <f>DGSP_ChiTiet!D25</f>
        <v>Hồ sơ</v>
      </c>
      <c r="D11" s="523">
        <f>DGSP_ChiTiet!E25</f>
        <v>1</v>
      </c>
      <c r="E11" s="294">
        <f>DGSP_ChiTiet!F25</f>
        <v>1406558.7900000003</v>
      </c>
      <c r="F11" s="294">
        <f>DGSP_ChiTiet!G25</f>
        <v>127346.15384615384</v>
      </c>
      <c r="G11" s="294">
        <f>DGSP_ChiTiet!H25</f>
        <v>14634.112551961542</v>
      </c>
      <c r="H11" s="294">
        <f>DGSP_ChiTiet!I25</f>
        <v>23374.9</v>
      </c>
      <c r="I11" s="294">
        <f>DGSP_ChiTiet!J25</f>
        <v>10374.665399999998</v>
      </c>
      <c r="J11" s="294">
        <f>DGSP_ChiTiet!K25</f>
        <v>13089.945004500001</v>
      </c>
      <c r="K11" s="294">
        <f>DGSP_ChiTiet!L25</f>
        <v>1595378.5668026155</v>
      </c>
      <c r="L11" s="294">
        <f>DGSP_ChiTiet!M25</f>
        <v>239306.78502039233</v>
      </c>
      <c r="M11" s="1009">
        <f>DGSP_ChiTiet!N25</f>
        <v>1834685.3518230079</v>
      </c>
      <c r="N11" s="1002">
        <f>DGSP_ChiTiet!O25</f>
        <v>123911.13149999997</v>
      </c>
      <c r="O11" s="294">
        <f>DGSP_ChiTiet!P25</f>
        <v>332655.38461538462</v>
      </c>
      <c r="P11" s="1060">
        <f t="shared" si="0"/>
        <v>1834685.3518230079</v>
      </c>
    </row>
    <row r="12" spans="1:16" s="86" customFormat="1" ht="14.25" customHeight="1">
      <c r="A12" s="1647"/>
      <c r="B12" s="1644"/>
      <c r="C12" s="1632">
        <f>DGSP_ChiTiet!D26</f>
        <v>0</v>
      </c>
      <c r="D12" s="523" t="str">
        <f>DGSP_ChiTiet!E26</f>
        <v>2</v>
      </c>
      <c r="E12" s="294">
        <f>DGSP_ChiTiet!F26</f>
        <v>1457876.7450000001</v>
      </c>
      <c r="F12" s="294">
        <f>DGSP_ChiTiet!G26</f>
        <v>140080.76923076925</v>
      </c>
      <c r="G12" s="294">
        <f>DGSP_ChiTiet!H26</f>
        <v>14634.112551961542</v>
      </c>
      <c r="H12" s="294">
        <f>DGSP_ChiTiet!I26</f>
        <v>23374.9</v>
      </c>
      <c r="I12" s="294">
        <f>DGSP_ChiTiet!J26</f>
        <v>10374.665399999998</v>
      </c>
      <c r="J12" s="294">
        <f>DGSP_ChiTiet!K26</f>
        <v>13089.945004500001</v>
      </c>
      <c r="K12" s="294">
        <f>DGSP_ChiTiet!L26</f>
        <v>1659431.1371872309</v>
      </c>
      <c r="L12" s="294">
        <f>DGSP_ChiTiet!M26</f>
        <v>248914.67057808462</v>
      </c>
      <c r="M12" s="1009">
        <f>DGSP_ChiTiet!N26</f>
        <v>1908345.8077653155</v>
      </c>
      <c r="N12" s="1002">
        <f>DGSP_ChiTiet!O26</f>
        <v>128512.74149999997</v>
      </c>
      <c r="O12" s="294">
        <f>DGSP_ChiTiet!P26</f>
        <v>332318.46153846156</v>
      </c>
      <c r="P12" s="1060">
        <f t="shared" si="0"/>
        <v>1908345.8077653155</v>
      </c>
    </row>
    <row r="13" spans="1:16" s="86" customFormat="1" ht="14.25" customHeight="1">
      <c r="A13" s="1647"/>
      <c r="B13" s="1644"/>
      <c r="C13" s="1632">
        <f>DGSP_ChiTiet!D27</f>
        <v>0</v>
      </c>
      <c r="D13" s="523" t="str">
        <f>DGSP_ChiTiet!E27</f>
        <v>3</v>
      </c>
      <c r="E13" s="294">
        <f>DGSP_ChiTiet!F27</f>
        <v>1514326.4955000002</v>
      </c>
      <c r="F13" s="294">
        <f>DGSP_ChiTiet!G27</f>
        <v>154088.84615384616</v>
      </c>
      <c r="G13" s="294">
        <f>DGSP_ChiTiet!H27</f>
        <v>14634.112551961542</v>
      </c>
      <c r="H13" s="294">
        <f>DGSP_ChiTiet!I27</f>
        <v>23374.9</v>
      </c>
      <c r="I13" s="294">
        <f>DGSP_ChiTiet!J27</f>
        <v>10374.665399999998</v>
      </c>
      <c r="J13" s="294">
        <f>DGSP_ChiTiet!K27</f>
        <v>13089.945004500001</v>
      </c>
      <c r="K13" s="294">
        <f>DGSP_ChiTiet!L27</f>
        <v>1729888.9646103079</v>
      </c>
      <c r="L13" s="294">
        <f>DGSP_ChiTiet!M27</f>
        <v>259483.34469154617</v>
      </c>
      <c r="M13" s="1009">
        <f>DGSP_ChiTiet!N27</f>
        <v>1989372.3093018541</v>
      </c>
      <c r="N13" s="1002">
        <f>DGSP_ChiTiet!O27</f>
        <v>133574.51249999998</v>
      </c>
      <c r="O13" s="294">
        <f>DGSP_ChiTiet!P27</f>
        <v>333610</v>
      </c>
      <c r="P13" s="1060">
        <f t="shared" si="0"/>
        <v>1989372.3093018541</v>
      </c>
    </row>
    <row r="14" spans="1:16" s="83" customFormat="1" ht="14.25" customHeight="1">
      <c r="A14" s="1647"/>
      <c r="B14" s="1644"/>
      <c r="C14" s="523">
        <f t="shared" ref="C14:D17" si="1">C10</f>
        <v>0</v>
      </c>
      <c r="D14" s="523">
        <f t="shared" si="1"/>
        <v>0</v>
      </c>
      <c r="E14" s="1431" t="str">
        <f>DGSP_ChiTiet!AB24</f>
        <v>Đăng ký cấp GCN đối với đất và tài sản</v>
      </c>
      <c r="F14" s="1431"/>
      <c r="G14" s="1431"/>
      <c r="H14" s="1431"/>
      <c r="I14" s="1431"/>
      <c r="J14" s="1431"/>
      <c r="K14" s="1431"/>
      <c r="L14" s="1431"/>
      <c r="M14" s="1649"/>
      <c r="N14" s="1022">
        <f>DGSP_ChiTiet!AK24</f>
        <v>0</v>
      </c>
      <c r="O14" s="524">
        <f>DGSP_ChiTiet!AL24</f>
        <v>0</v>
      </c>
      <c r="P14" s="1060">
        <f t="shared" si="0"/>
        <v>0</v>
      </c>
    </row>
    <row r="15" spans="1:16" s="86" customFormat="1" ht="14.25" customHeight="1">
      <c r="A15" s="1647"/>
      <c r="B15" s="1644"/>
      <c r="C15" s="1632" t="str">
        <f t="shared" si="1"/>
        <v>Hồ sơ</v>
      </c>
      <c r="D15" s="523">
        <f t="shared" si="1"/>
        <v>1</v>
      </c>
      <c r="E15" s="294">
        <f>DGSP_ChiTiet!AB25</f>
        <v>2038499.8920000002</v>
      </c>
      <c r="F15" s="294">
        <f>DGSP_ChiTiet!AC25</f>
        <v>165550.00000000003</v>
      </c>
      <c r="G15" s="294">
        <f>DGSP_ChiTiet!AD25</f>
        <v>19024.346317550004</v>
      </c>
      <c r="H15" s="294">
        <f>DGSP_ChiTiet!AE25</f>
        <v>23374.9</v>
      </c>
      <c r="I15" s="294">
        <f>DGSP_ChiTiet!AF25</f>
        <v>13487.065019999998</v>
      </c>
      <c r="J15" s="294">
        <f>DGSP_ChiTiet!AG25</f>
        <v>17016.928505850003</v>
      </c>
      <c r="K15" s="294">
        <f>DGSP_ChiTiet!AH25</f>
        <v>2276953.1318434007</v>
      </c>
      <c r="L15" s="294">
        <f>DGSP_ChiTiet!AI25</f>
        <v>341542.96977651009</v>
      </c>
      <c r="M15" s="1009">
        <f>DGSP_ChiTiet!AJ25</f>
        <v>2618496.1016199109</v>
      </c>
      <c r="N15" s="1002">
        <f>DGSP_ChiTiet!AK25</f>
        <v>190199.88000000003</v>
      </c>
      <c r="O15" s="294">
        <f>DGSP_ChiTiet!AL25</f>
        <v>460882.69230769225</v>
      </c>
      <c r="P15" s="1060">
        <f t="shared" si="0"/>
        <v>2618496.1016199109</v>
      </c>
    </row>
    <row r="16" spans="1:16" s="86" customFormat="1" ht="14.25" customHeight="1">
      <c r="A16" s="1647"/>
      <c r="B16" s="1644"/>
      <c r="C16" s="1632">
        <f t="shared" si="1"/>
        <v>0</v>
      </c>
      <c r="D16" s="523" t="str">
        <f t="shared" si="1"/>
        <v>2</v>
      </c>
      <c r="E16" s="294">
        <f>DGSP_ChiTiet!AB26</f>
        <v>2105213.2335000001</v>
      </c>
      <c r="F16" s="294">
        <f>DGSP_ChiTiet!AC26</f>
        <v>182105</v>
      </c>
      <c r="G16" s="294">
        <f>DGSP_ChiTiet!AD26</f>
        <v>19024.346317550004</v>
      </c>
      <c r="H16" s="294">
        <f>DGSP_ChiTiet!AE26</f>
        <v>23374.9</v>
      </c>
      <c r="I16" s="294">
        <f>DGSP_ChiTiet!AF26</f>
        <v>13487.065019999998</v>
      </c>
      <c r="J16" s="294">
        <f>DGSP_ChiTiet!AG26</f>
        <v>17016.928505850003</v>
      </c>
      <c r="K16" s="294">
        <f>DGSP_ChiTiet!AH26</f>
        <v>2360221.4733434003</v>
      </c>
      <c r="L16" s="294">
        <f>DGSP_ChiTiet!AI26</f>
        <v>354033.22100151004</v>
      </c>
      <c r="M16" s="1009">
        <f>DGSP_ChiTiet!AJ26</f>
        <v>2714254.6943449103</v>
      </c>
      <c r="N16" s="1002">
        <f>DGSP_ChiTiet!AK26</f>
        <v>196181.973</v>
      </c>
      <c r="O16" s="294">
        <f>DGSP_ChiTiet!AL26</f>
        <v>460461.53846153844</v>
      </c>
      <c r="P16" s="1060">
        <f t="shared" si="0"/>
        <v>2714254.6943449103</v>
      </c>
    </row>
    <row r="17" spans="1:16" s="86" customFormat="1" ht="14.25" customHeight="1" thickBot="1">
      <c r="A17" s="1648"/>
      <c r="B17" s="1645"/>
      <c r="C17" s="1635">
        <f t="shared" si="1"/>
        <v>0</v>
      </c>
      <c r="D17" s="1010" t="str">
        <f t="shared" si="1"/>
        <v>3</v>
      </c>
      <c r="E17" s="1011">
        <f>DGSP_ChiTiet!AB27</f>
        <v>2178768.9690000005</v>
      </c>
      <c r="F17" s="1011">
        <f>DGSP_ChiTiet!AC27</f>
        <v>200297.30769230772</v>
      </c>
      <c r="G17" s="1011">
        <f>DGSP_ChiTiet!AD27</f>
        <v>19024.346317550004</v>
      </c>
      <c r="H17" s="1011">
        <f>DGSP_ChiTiet!AE27</f>
        <v>23374.9</v>
      </c>
      <c r="I17" s="1011">
        <f>DGSP_ChiTiet!AF27</f>
        <v>13487.065019999998</v>
      </c>
      <c r="J17" s="1011">
        <f>DGSP_ChiTiet!AG27</f>
        <v>17016.928505850003</v>
      </c>
      <c r="K17" s="1011">
        <f>DGSP_ChiTiet!AH27</f>
        <v>2451969.5165357082</v>
      </c>
      <c r="L17" s="1011">
        <f>DGSP_ChiTiet!AI27</f>
        <v>367795.42748035624</v>
      </c>
      <c r="M17" s="1012">
        <f>DGSP_ChiTiet!AJ27</f>
        <v>2819764.9440160645</v>
      </c>
      <c r="N17" s="1002">
        <f>DGSP_ChiTiet!AK27</f>
        <v>202777.614</v>
      </c>
      <c r="O17" s="294">
        <f>DGSP_ChiTiet!AL27</f>
        <v>461725</v>
      </c>
      <c r="P17" s="1060">
        <f t="shared" si="0"/>
        <v>2819764.9440160645</v>
      </c>
    </row>
    <row r="18" spans="1:16" s="86" customFormat="1" ht="14.25" customHeight="1">
      <c r="A18" s="1636" t="str">
        <f>DGSP_ChiTiet!B37</f>
        <v>III</v>
      </c>
      <c r="B18" s="1651" t="str">
        <f>DGSP_ChiTiet!C37</f>
        <v>Định mức lao động đăng ký, cấp Giấy chứng nhận lần đầu đối với tổ chức (trừ trường hợp thuộc thẩm quyền quyết định của UBND xã, phường), tổ chức tôn giáo, tổ chức tôn giáo trực thuộc đang sử dụng đất</v>
      </c>
      <c r="C18" s="1640" t="str">
        <f>DGSP_ChiTiet!D38</f>
        <v>Hồ sơ</v>
      </c>
      <c r="D18" s="1008">
        <f>DGSP_ChiTiet!E37</f>
        <v>0</v>
      </c>
      <c r="E18" s="1641" t="str">
        <f>DGSP_ChiTiet!F37</f>
        <v>Đăng ký cấp GCN đối với đất</v>
      </c>
      <c r="F18" s="1641">
        <f>DGSP_ChiTiet!G37</f>
        <v>0</v>
      </c>
      <c r="G18" s="1641">
        <f>DGSP_ChiTiet!H37</f>
        <v>0</v>
      </c>
      <c r="H18" s="1641">
        <f>DGSP_ChiTiet!I37</f>
        <v>0</v>
      </c>
      <c r="I18" s="1641">
        <f>DGSP_ChiTiet!J37</f>
        <v>0</v>
      </c>
      <c r="J18" s="1641">
        <f>DGSP_ChiTiet!K37</f>
        <v>0</v>
      </c>
      <c r="K18" s="1641">
        <f>DGSP_ChiTiet!L37</f>
        <v>0</v>
      </c>
      <c r="L18" s="1641">
        <f>DGSP_ChiTiet!M37</f>
        <v>0</v>
      </c>
      <c r="M18" s="1642">
        <f>DGSP_ChiTiet!N37</f>
        <v>0</v>
      </c>
      <c r="N18" s="1002"/>
      <c r="O18" s="294"/>
      <c r="P18" s="1060">
        <f t="shared" si="0"/>
        <v>0</v>
      </c>
    </row>
    <row r="19" spans="1:16" s="86" customFormat="1" ht="14.25" customHeight="1">
      <c r="A19" s="1637"/>
      <c r="B19" s="1425"/>
      <c r="C19" s="1632"/>
      <c r="D19" s="523">
        <f>DGSP_ChiTiet!E38</f>
        <v>1</v>
      </c>
      <c r="E19" s="294">
        <f>DGSP_ChiTiet!F38</f>
        <v>2291325.0165000004</v>
      </c>
      <c r="F19" s="294">
        <f>DGSP_ChiTiet!G38</f>
        <v>0</v>
      </c>
      <c r="G19" s="294">
        <f>DGSP_ChiTiet!H38</f>
        <v>15128.12688647436</v>
      </c>
      <c r="H19" s="294">
        <f>DGSP_ChiTiet!I38</f>
        <v>21051</v>
      </c>
      <c r="I19" s="294">
        <f>DGSP_ChiTiet!J38</f>
        <v>23841.524799999999</v>
      </c>
      <c r="J19" s="294">
        <f>DGSP_ChiTiet!K38</f>
        <v>38427.881992500006</v>
      </c>
      <c r="K19" s="294">
        <f>DGSP_ChiTiet!L38</f>
        <v>2389773.5501789744</v>
      </c>
      <c r="L19" s="294">
        <f>DGSP_ChiTiet!M38</f>
        <v>358466.03252684616</v>
      </c>
      <c r="M19" s="1009">
        <f>DGSP_ChiTiet!N38</f>
        <v>2748239.5827058204</v>
      </c>
      <c r="N19" s="1002">
        <f>DGSP_ChiTiet!O38</f>
        <v>189586.33199999999</v>
      </c>
      <c r="O19" s="294">
        <f>DGSP_ChiTiet!P38</f>
        <v>0</v>
      </c>
      <c r="P19" s="1060">
        <f t="shared" si="0"/>
        <v>2748239.5827058204</v>
      </c>
    </row>
    <row r="20" spans="1:16" s="86" customFormat="1" ht="14.25" customHeight="1">
      <c r="A20" s="1637"/>
      <c r="B20" s="1425"/>
      <c r="C20" s="1632"/>
      <c r="D20" s="523" t="str">
        <f>DGSP_ChiTiet!E39</f>
        <v>2</v>
      </c>
      <c r="E20" s="294">
        <f>DGSP_ChiTiet!F39</f>
        <v>2348344.9665000001</v>
      </c>
      <c r="F20" s="294">
        <f>DGSP_ChiTiet!G39</f>
        <v>0</v>
      </c>
      <c r="G20" s="294">
        <f>DGSP_ChiTiet!H39</f>
        <v>15128.12688647436</v>
      </c>
      <c r="H20" s="294">
        <f>DGSP_ChiTiet!I39</f>
        <v>21051</v>
      </c>
      <c r="I20" s="294">
        <f>DGSP_ChiTiet!J39</f>
        <v>23841.524799999999</v>
      </c>
      <c r="J20" s="294">
        <f>DGSP_ChiTiet!K39</f>
        <v>38427.881992500006</v>
      </c>
      <c r="K20" s="294">
        <f>DGSP_ChiTiet!L39</f>
        <v>2446793.5001789741</v>
      </c>
      <c r="L20" s="294">
        <f>DGSP_ChiTiet!M39</f>
        <v>367019.02502684609</v>
      </c>
      <c r="M20" s="1009">
        <f>DGSP_ChiTiet!N39</f>
        <v>2813812.5252058203</v>
      </c>
      <c r="N20" s="1002">
        <f>DGSP_ChiTiet!O39</f>
        <v>114247.75049999998</v>
      </c>
      <c r="O20" s="294">
        <f>DGSP_ChiTiet!P39</f>
        <v>0</v>
      </c>
      <c r="P20" s="1060">
        <f t="shared" si="0"/>
        <v>2813812.5252058203</v>
      </c>
    </row>
    <row r="21" spans="1:16" s="86" customFormat="1" ht="14.25" customHeight="1">
      <c r="A21" s="1637"/>
      <c r="B21" s="1425"/>
      <c r="C21" s="1632"/>
      <c r="D21" s="523" t="str">
        <f>DGSP_ChiTiet!E40</f>
        <v>3</v>
      </c>
      <c r="E21" s="294">
        <f>DGSP_ChiTiet!F40</f>
        <v>2411066.9115000004</v>
      </c>
      <c r="F21" s="294">
        <f>DGSP_ChiTiet!G40</f>
        <v>0</v>
      </c>
      <c r="G21" s="294">
        <f>DGSP_ChiTiet!H40</f>
        <v>15128.12688647436</v>
      </c>
      <c r="H21" s="294">
        <f>DGSP_ChiTiet!I40</f>
        <v>21051</v>
      </c>
      <c r="I21" s="294">
        <f>DGSP_ChiTiet!J40</f>
        <v>23841.524799999999</v>
      </c>
      <c r="J21" s="294">
        <f>DGSP_ChiTiet!K40</f>
        <v>38427.881992500006</v>
      </c>
      <c r="K21" s="294">
        <f>DGSP_ChiTiet!L40</f>
        <v>2509515.4451789744</v>
      </c>
      <c r="L21" s="294">
        <f>DGSP_ChiTiet!M40</f>
        <v>376427.31677684613</v>
      </c>
      <c r="M21" s="1009">
        <f>DGSP_ChiTiet!N40</f>
        <v>2885942.7619558205</v>
      </c>
      <c r="N21" s="1002">
        <f>DGSP_ChiTiet!O40</f>
        <v>114247.75049999998</v>
      </c>
      <c r="O21" s="294">
        <f>DGSP_ChiTiet!P40</f>
        <v>0</v>
      </c>
      <c r="P21" s="1060">
        <f t="shared" si="0"/>
        <v>2885942.7619558205</v>
      </c>
    </row>
    <row r="22" spans="1:16" s="86" customFormat="1" ht="14.25" customHeight="1">
      <c r="A22" s="1637"/>
      <c r="B22" s="1425"/>
      <c r="C22" s="1632"/>
      <c r="D22" s="523"/>
      <c r="E22" s="1431" t="str">
        <f>DGSP_ChiTiet!AB37</f>
        <v>Đăng ký cấp GCN đối với đất và tài sản</v>
      </c>
      <c r="F22" s="1431">
        <f>DGSP_ChiTiet!AC37</f>
        <v>0</v>
      </c>
      <c r="G22" s="1431">
        <f>DGSP_ChiTiet!AD37</f>
        <v>0</v>
      </c>
      <c r="H22" s="1431">
        <f>DGSP_ChiTiet!AE37</f>
        <v>0</v>
      </c>
      <c r="I22" s="1431">
        <f>DGSP_ChiTiet!AF37</f>
        <v>0</v>
      </c>
      <c r="J22" s="1431">
        <f>DGSP_ChiTiet!AG37</f>
        <v>0</v>
      </c>
      <c r="K22" s="1431">
        <f>DGSP_ChiTiet!AH37</f>
        <v>0</v>
      </c>
      <c r="L22" s="1431">
        <f>DGSP_ChiTiet!AI37</f>
        <v>0</v>
      </c>
      <c r="M22" s="1649">
        <f>DGSP_ChiTiet!AJ37</f>
        <v>0</v>
      </c>
      <c r="N22" s="1002"/>
      <c r="O22" s="294"/>
      <c r="P22" s="1060">
        <f t="shared" si="0"/>
        <v>0</v>
      </c>
    </row>
    <row r="23" spans="1:16" s="86" customFormat="1" ht="14.25" customHeight="1">
      <c r="A23" s="1637"/>
      <c r="B23" s="1425"/>
      <c r="C23" s="1632"/>
      <c r="D23" s="523">
        <f>D19</f>
        <v>1</v>
      </c>
      <c r="E23" s="294">
        <f>DGSP_ChiTiet!AB38</f>
        <v>2938671.5085000005</v>
      </c>
      <c r="F23" s="294">
        <f>DGSP_ChiTiet!AC38</f>
        <v>0</v>
      </c>
      <c r="G23" s="294">
        <f>DGSP_ChiTiet!AD38</f>
        <v>19666.564952416669</v>
      </c>
      <c r="H23" s="294">
        <f>DGSP_ChiTiet!AE38</f>
        <v>21051</v>
      </c>
      <c r="I23" s="294">
        <f>DGSP_ChiTiet!AF38</f>
        <v>23841.524799999999</v>
      </c>
      <c r="J23" s="294">
        <f>DGSP_ChiTiet!AG38</f>
        <v>38427.881992500006</v>
      </c>
      <c r="K23" s="294">
        <f>DGSP_ChiTiet!AH38</f>
        <v>3041658.4802449169</v>
      </c>
      <c r="L23" s="294">
        <f>DGSP_ChiTiet!AI38</f>
        <v>456248.77203673753</v>
      </c>
      <c r="M23" s="1009">
        <f>DGSP_ChiTiet!AJ38</f>
        <v>3497907.2522816546</v>
      </c>
      <c r="N23" s="1002">
        <f>DGSP_ChiTiet!AK38</f>
        <v>243195.08849999995</v>
      </c>
      <c r="O23" s="294">
        <f>DGSP_ChiTiet!AL38</f>
        <v>0</v>
      </c>
      <c r="P23" s="1060">
        <f t="shared" si="0"/>
        <v>3497907.2522816546</v>
      </c>
    </row>
    <row r="24" spans="1:16" s="86" customFormat="1" ht="14.25" customHeight="1">
      <c r="A24" s="1637"/>
      <c r="B24" s="1425"/>
      <c r="C24" s="1632"/>
      <c r="D24" s="523" t="str">
        <f>D20</f>
        <v>2</v>
      </c>
      <c r="E24" s="294">
        <f>DGSP_ChiTiet!AB39</f>
        <v>3012797.4435000001</v>
      </c>
      <c r="F24" s="294">
        <f>DGSP_ChiTiet!AC39</f>
        <v>0</v>
      </c>
      <c r="G24" s="294">
        <f>DGSP_ChiTiet!AD39</f>
        <v>19666.564952416669</v>
      </c>
      <c r="H24" s="294">
        <f>DGSP_ChiTiet!AE39</f>
        <v>21051</v>
      </c>
      <c r="I24" s="294">
        <f>DGSP_ChiTiet!AF39</f>
        <v>23841.524799999999</v>
      </c>
      <c r="J24" s="294">
        <f>DGSP_ChiTiet!AG39</f>
        <v>38427.881992500006</v>
      </c>
      <c r="K24" s="294">
        <f>DGSP_ChiTiet!AH39</f>
        <v>3115784.4152449165</v>
      </c>
      <c r="L24" s="294">
        <f>DGSP_ChiTiet!AI39</f>
        <v>467367.66228673747</v>
      </c>
      <c r="M24" s="1009">
        <f>DGSP_ChiTiet!AJ39</f>
        <v>3583152.0775316539</v>
      </c>
      <c r="N24" s="1002">
        <f>DGSP_ChiTiet!AK39</f>
        <v>145308.61799999996</v>
      </c>
      <c r="O24" s="294">
        <f>DGSP_ChiTiet!AL39</f>
        <v>0</v>
      </c>
      <c r="P24" s="1060">
        <f t="shared" si="0"/>
        <v>3583152.0775316539</v>
      </c>
    </row>
    <row r="25" spans="1:16" s="86" customFormat="1" ht="14.25" customHeight="1" thickBot="1">
      <c r="A25" s="1638"/>
      <c r="B25" s="1652"/>
      <c r="C25" s="1635"/>
      <c r="D25" s="1010" t="str">
        <f>D21</f>
        <v>3</v>
      </c>
      <c r="E25" s="1011">
        <f>DGSP_ChiTiet!AB40</f>
        <v>3094335.9720000001</v>
      </c>
      <c r="F25" s="1011">
        <f>DGSP_ChiTiet!AC40</f>
        <v>0</v>
      </c>
      <c r="G25" s="1011">
        <f>DGSP_ChiTiet!AD40</f>
        <v>19666.564952416669</v>
      </c>
      <c r="H25" s="1011">
        <f>DGSP_ChiTiet!AE40</f>
        <v>21051</v>
      </c>
      <c r="I25" s="1011">
        <f>DGSP_ChiTiet!AF40</f>
        <v>23841.524799999999</v>
      </c>
      <c r="J25" s="1011">
        <f>DGSP_ChiTiet!AG40</f>
        <v>38427.881992500006</v>
      </c>
      <c r="K25" s="1011">
        <f>DGSP_ChiTiet!AH40</f>
        <v>3197322.9437449165</v>
      </c>
      <c r="L25" s="1011">
        <f>DGSP_ChiTiet!AI40</f>
        <v>479598.44156173745</v>
      </c>
      <c r="M25" s="1012">
        <f>DGSP_ChiTiet!AJ40</f>
        <v>3676921.385306654</v>
      </c>
      <c r="N25" s="1002">
        <f>DGSP_ChiTiet!AK40</f>
        <v>145308.61799999996</v>
      </c>
      <c r="O25" s="294">
        <f>DGSP_ChiTiet!AL40</f>
        <v>0</v>
      </c>
      <c r="P25" s="1060">
        <f t="shared" si="0"/>
        <v>3676921.385306654</v>
      </c>
    </row>
    <row r="26" spans="1:16" s="86" customFormat="1" ht="14.25" customHeight="1">
      <c r="A26" s="1656" t="str">
        <f>DGSP_ChiTiet!B48</f>
        <v>IV</v>
      </c>
      <c r="B26" s="1658" t="str">
        <f>DGSP_ChiTiet!C48</f>
        <v>ĐĂNG KÝ, CẤP ĐỔI GIẤY CHỨNG NHẬN ĐỒNG LOẠT TẠI XÃ, PHƯỜNG, ĐẶC KHU (CHƯA BAO GỒM QUÉT HỒ SƠ)</v>
      </c>
      <c r="C26" s="1440" t="str">
        <f>DGSP_ChiTiet!D48</f>
        <v>Hồ sơ</v>
      </c>
      <c r="D26" s="1005">
        <f>DGSP_ChiTiet!E48</f>
        <v>1</v>
      </c>
      <c r="E26" s="1006">
        <f>DGSP_ChiTiet!F48</f>
        <v>626095.65718557697</v>
      </c>
      <c r="F26" s="1006">
        <f>DGSP_ChiTiet!G48</f>
        <v>409.32692307692309</v>
      </c>
      <c r="G26" s="1006">
        <f>DGSP_ChiTiet!H48</f>
        <v>6451.4626774153849</v>
      </c>
      <c r="H26" s="1006">
        <f>DGSP_ChiTiet!I48</f>
        <v>32760.74</v>
      </c>
      <c r="I26" s="1006">
        <f>DGSP_ChiTiet!J48</f>
        <v>9198.6971999999987</v>
      </c>
      <c r="J26" s="1006">
        <f>DGSP_ChiTiet!K48</f>
        <v>11710.200001500001</v>
      </c>
      <c r="K26" s="1006">
        <f>DGSP_ChiTiet!L48</f>
        <v>686626.0839875692</v>
      </c>
      <c r="L26" s="1006">
        <f>DGSP_ChiTiet!M48</f>
        <v>102993.91259813537</v>
      </c>
      <c r="M26" s="1007">
        <f>DGSP_ChiTiet!N48</f>
        <v>789619.99658570462</v>
      </c>
      <c r="N26" s="294">
        <f>DGSP_ChiTiet!O48</f>
        <v>869830.51471875003</v>
      </c>
      <c r="O26" s="294">
        <f>DGSP_ChiTiet!P48</f>
        <v>626095.65718557697</v>
      </c>
      <c r="P26" s="1060">
        <f t="shared" si="0"/>
        <v>789619.99658570462</v>
      </c>
    </row>
    <row r="27" spans="1:16" s="86" customFormat="1" ht="14.25" customHeight="1">
      <c r="A27" s="1431">
        <f>DGSP_ChiTiet!B49</f>
        <v>0</v>
      </c>
      <c r="B27" s="1425">
        <f>DGSP_ChiTiet!C49</f>
        <v>0</v>
      </c>
      <c r="C27" s="1632">
        <f>DGSP_ChiTiet!D49</f>
        <v>0</v>
      </c>
      <c r="D27" s="523">
        <f>DGSP_ChiTiet!E49</f>
        <v>2</v>
      </c>
      <c r="E27" s="294">
        <f>DGSP_ChiTiet!F49</f>
        <v>626095.65718557697</v>
      </c>
      <c r="F27" s="294">
        <f>DGSP_ChiTiet!G49</f>
        <v>409.32692307692309</v>
      </c>
      <c r="G27" s="294">
        <f>DGSP_ChiTiet!H49</f>
        <v>7066.4578848461542</v>
      </c>
      <c r="H27" s="294">
        <f>DGSP_ChiTiet!I49</f>
        <v>32760.74</v>
      </c>
      <c r="I27" s="294">
        <f>DGSP_ChiTiet!J49</f>
        <v>9198.6971999999987</v>
      </c>
      <c r="J27" s="294">
        <f>DGSP_ChiTiet!K49</f>
        <v>11710.200001500001</v>
      </c>
      <c r="K27" s="294">
        <f>DGSP_ChiTiet!L49</f>
        <v>687241.079195</v>
      </c>
      <c r="L27" s="294">
        <f>DGSP_ChiTiet!M49</f>
        <v>103086.16187924999</v>
      </c>
      <c r="M27" s="1000">
        <f>DGSP_ChiTiet!N49</f>
        <v>790327.24107424996</v>
      </c>
      <c r="N27" s="294">
        <f>DGSP_ChiTiet!O49</f>
        <v>869830.51471875003</v>
      </c>
      <c r="O27" s="294">
        <f>DGSP_ChiTiet!P49</f>
        <v>626095.65718557697</v>
      </c>
      <c r="P27" s="1060">
        <f t="shared" si="0"/>
        <v>790327.24107424996</v>
      </c>
    </row>
    <row r="28" spans="1:16" s="86" customFormat="1" ht="14.25" customHeight="1" thickBot="1">
      <c r="A28" s="1657">
        <f>DGSP_ChiTiet!B50</f>
        <v>0</v>
      </c>
      <c r="B28" s="1659">
        <f>DGSP_ChiTiet!C50</f>
        <v>0</v>
      </c>
      <c r="C28" s="1438">
        <f>DGSP_ChiTiet!D50</f>
        <v>0</v>
      </c>
      <c r="D28" s="1016">
        <f>DGSP_ChiTiet!E50</f>
        <v>3</v>
      </c>
      <c r="E28" s="1003">
        <f>DGSP_ChiTiet!F50</f>
        <v>626095.65718557697</v>
      </c>
      <c r="F28" s="1003">
        <f>DGSP_ChiTiet!G50</f>
        <v>409.32692307692309</v>
      </c>
      <c r="G28" s="1003">
        <f>DGSP_ChiTiet!H50</f>
        <v>7681.4530922769245</v>
      </c>
      <c r="H28" s="1003">
        <f>DGSP_ChiTiet!I50</f>
        <v>32760.74</v>
      </c>
      <c r="I28" s="1003">
        <f>DGSP_ChiTiet!J50</f>
        <v>9198.6971999999987</v>
      </c>
      <c r="J28" s="1003">
        <f>DGSP_ChiTiet!K50</f>
        <v>11710.200001500001</v>
      </c>
      <c r="K28" s="1003">
        <f>DGSP_ChiTiet!L50</f>
        <v>687856.07440243079</v>
      </c>
      <c r="L28" s="1003">
        <f>DGSP_ChiTiet!M50</f>
        <v>103178.41116036462</v>
      </c>
      <c r="M28" s="1004">
        <f>DGSP_ChiTiet!N50</f>
        <v>791034.48556279542</v>
      </c>
      <c r="N28" s="294">
        <f>DGSP_ChiTiet!O50</f>
        <v>869830.51471875003</v>
      </c>
      <c r="O28" s="294">
        <f>DGSP_ChiTiet!P50</f>
        <v>626095.65718557697</v>
      </c>
      <c r="P28" s="1060">
        <f t="shared" si="0"/>
        <v>791034.48556279542</v>
      </c>
    </row>
    <row r="29" spans="1:16" s="86" customFormat="1">
      <c r="A29" s="1636" t="str">
        <f>DGSP_ChiTiet!B64</f>
        <v>V</v>
      </c>
      <c r="B29" s="1651" t="str">
        <f>DGSP_ChiTiet!C64</f>
        <v>Đăng ký, cấp đổi, cấp lại Giấy chứng nhận riêng lẻ đối với hộ gia đình, cá nhân, cộng đồng dân cư, người gốc Việt Nam định cư ở nước ngoài.</v>
      </c>
      <c r="C29" s="1640" t="str">
        <f>DGSP_ChiTiet!D64</f>
        <v>Hồ sơ</v>
      </c>
      <c r="D29" s="1640" t="str">
        <f>DGSP_ChiTiet!E64</f>
        <v>1-3</v>
      </c>
      <c r="E29" s="1664" t="str">
        <f>DGSP_ChiTiet!F64</f>
        <v>Đăng ký cấp GCN đối với đất</v>
      </c>
      <c r="F29" s="1664"/>
      <c r="G29" s="1664"/>
      <c r="H29" s="1664"/>
      <c r="I29" s="1664"/>
      <c r="J29" s="1664"/>
      <c r="K29" s="1664"/>
      <c r="L29" s="1664"/>
      <c r="M29" s="1665"/>
      <c r="N29" s="1002">
        <f>DGSP_ChiTiet!O64</f>
        <v>0</v>
      </c>
      <c r="O29" s="294">
        <f>DGSP_ChiTiet!P64</f>
        <v>0</v>
      </c>
      <c r="P29" s="1060">
        <f t="shared" si="0"/>
        <v>0</v>
      </c>
    </row>
    <row r="30" spans="1:16" s="83" customFormat="1">
      <c r="A30" s="1637"/>
      <c r="B30" s="1425"/>
      <c r="C30" s="1632"/>
      <c r="D30" s="1632"/>
      <c r="E30" s="294">
        <f>DGSP_ChiTiet!F65</f>
        <v>947998.35000000009</v>
      </c>
      <c r="F30" s="294">
        <f>DGSP_ChiTiet!G65</f>
        <v>0</v>
      </c>
      <c r="G30" s="294">
        <f>DGSP_ChiTiet!H65</f>
        <v>9922.1415201410255</v>
      </c>
      <c r="H30" s="294">
        <f>DGSP_ChiTiet!I65</f>
        <v>18752.5</v>
      </c>
      <c r="I30" s="294">
        <f>DGSP_ChiTiet!J65</f>
        <v>16531.804800000002</v>
      </c>
      <c r="J30" s="294">
        <f>DGSP_ChiTiet!K65</f>
        <v>24015.497688000003</v>
      </c>
      <c r="K30" s="294">
        <f>DGSP_ChiTiet!L65</f>
        <v>1017220.2940081412</v>
      </c>
      <c r="L30" s="294">
        <f>DGSP_ChiTiet!M65</f>
        <v>152583.04410122117</v>
      </c>
      <c r="M30" s="1009">
        <f>DGSP_ChiTiet!N65</f>
        <v>1169803.3381093624</v>
      </c>
      <c r="N30" s="1002">
        <f>DGSP_ChiTiet!O65</f>
        <v>61303.671000000009</v>
      </c>
      <c r="O30" s="294">
        <f>DGSP_ChiTiet!P65</f>
        <v>92962.692307692327</v>
      </c>
      <c r="P30" s="1060">
        <f t="shared" si="0"/>
        <v>1169803.3381093624</v>
      </c>
    </row>
    <row r="31" spans="1:16" s="86" customFormat="1">
      <c r="A31" s="1637"/>
      <c r="B31" s="1425"/>
      <c r="C31" s="1632"/>
      <c r="D31" s="1632"/>
      <c r="E31" s="1431" t="str">
        <f>DGSP_ChiTiet!Q64</f>
        <v>Đăng ký cấp GCN đối với tài sản</v>
      </c>
      <c r="F31" s="1431"/>
      <c r="G31" s="1431"/>
      <c r="H31" s="1431"/>
      <c r="I31" s="1431"/>
      <c r="J31" s="1431"/>
      <c r="K31" s="1431"/>
      <c r="L31" s="1431"/>
      <c r="M31" s="1649"/>
      <c r="N31" s="1015">
        <f>DGSP_ChiTiet!Z64</f>
        <v>0</v>
      </c>
      <c r="O31" s="525">
        <f>DGSP_ChiTiet!AA64</f>
        <v>0</v>
      </c>
      <c r="P31" s="1060">
        <f t="shared" si="0"/>
        <v>0</v>
      </c>
    </row>
    <row r="32" spans="1:16" s="83" customFormat="1">
      <c r="A32" s="1637"/>
      <c r="B32" s="1425"/>
      <c r="C32" s="1632"/>
      <c r="D32" s="1632"/>
      <c r="E32" s="294">
        <f>DGSP_ChiTiet!Q65</f>
        <v>883809.22500000009</v>
      </c>
      <c r="F32" s="294">
        <f>DGSP_ChiTiet!R65</f>
        <v>0</v>
      </c>
      <c r="G32" s="294">
        <f>DGSP_ChiTiet!S65</f>
        <v>9922.1415201410255</v>
      </c>
      <c r="H32" s="294">
        <f>DGSP_ChiTiet!T65</f>
        <v>18752.5</v>
      </c>
      <c r="I32" s="294">
        <f>DGSP_ChiTiet!U65</f>
        <v>16531.804800000002</v>
      </c>
      <c r="J32" s="294">
        <f>DGSP_ChiTiet!V65</f>
        <v>24015.497688000003</v>
      </c>
      <c r="K32" s="294">
        <f>DGSP_ChiTiet!W65</f>
        <v>953031.16900814115</v>
      </c>
      <c r="L32" s="294">
        <f>DGSP_ChiTiet!X65</f>
        <v>142954.67535122117</v>
      </c>
      <c r="M32" s="1009">
        <f>DGSP_ChiTiet!Y65</f>
        <v>1095985.8443593623</v>
      </c>
      <c r="N32" s="1002">
        <f>DGSP_ChiTiet!Z65</f>
        <v>56293.029000000002</v>
      </c>
      <c r="O32" s="294">
        <f>DGSP_ChiTiet!AA65</f>
        <v>90941.153846153858</v>
      </c>
      <c r="P32" s="1060">
        <f t="shared" si="0"/>
        <v>1095985.8443593623</v>
      </c>
    </row>
    <row r="33" spans="1:16" s="86" customFormat="1">
      <c r="A33" s="1637"/>
      <c r="B33" s="1425"/>
      <c r="C33" s="1632"/>
      <c r="D33" s="1632"/>
      <c r="E33" s="1431" t="str">
        <f>DGSP_ChiTiet!AB64</f>
        <v>Đăng ký cấp GCN đối với đất và tài sản</v>
      </c>
      <c r="F33" s="1431"/>
      <c r="G33" s="1431"/>
      <c r="H33" s="1431"/>
      <c r="I33" s="1431"/>
      <c r="J33" s="1431"/>
      <c r="K33" s="1431"/>
      <c r="L33" s="1431"/>
      <c r="M33" s="1649"/>
      <c r="N33" s="1015">
        <f>DGSP_ChiTiet!AK64</f>
        <v>0</v>
      </c>
      <c r="O33" s="525">
        <f>DGSP_ChiTiet!AL64</f>
        <v>0</v>
      </c>
      <c r="P33" s="1060">
        <f t="shared" si="0"/>
        <v>0</v>
      </c>
    </row>
    <row r="34" spans="1:16" s="83" customFormat="1">
      <c r="A34" s="1638"/>
      <c r="B34" s="1652"/>
      <c r="C34" s="1635"/>
      <c r="D34" s="1635"/>
      <c r="E34" s="1011">
        <f>DGSP_ChiTiet!AB65</f>
        <v>1234782.0225</v>
      </c>
      <c r="F34" s="1011">
        <f>DGSP_ChiTiet!AC65</f>
        <v>0</v>
      </c>
      <c r="G34" s="1011">
        <f>DGSP_ChiTiet!AD65</f>
        <v>12898.783976183333</v>
      </c>
      <c r="H34" s="1011">
        <f>DGSP_ChiTiet!AE65</f>
        <v>18752.5</v>
      </c>
      <c r="I34" s="1011">
        <f>DGSP_ChiTiet!AF65</f>
        <v>21491.346240000003</v>
      </c>
      <c r="J34" s="1011">
        <f>DGSP_ChiTiet!AG65</f>
        <v>31220.146994400005</v>
      </c>
      <c r="K34" s="1011">
        <f>DGSP_ChiTiet!AH65</f>
        <v>1319144.7997105834</v>
      </c>
      <c r="L34" s="1011">
        <f>DGSP_ChiTiet!AI65</f>
        <v>197871.71995658751</v>
      </c>
      <c r="M34" s="1012">
        <f>DGSP_ChiTiet!AJ65</f>
        <v>1517016.5196671709</v>
      </c>
      <c r="N34" s="1002">
        <f>DGSP_ChiTiet!AK65</f>
        <v>81218.416500000007</v>
      </c>
      <c r="O34" s="294">
        <f>DGSP_ChiTiet!AL65</f>
        <v>120000.76923076923</v>
      </c>
      <c r="P34" s="1060">
        <f t="shared" si="0"/>
        <v>1517016.5196671709</v>
      </c>
    </row>
    <row r="35" spans="1:16" s="83" customFormat="1" ht="19.5" customHeight="1">
      <c r="A35" s="1636" t="str">
        <f>DGSP_ChiTiet!B67</f>
        <v>VI</v>
      </c>
      <c r="B35" s="1651" t="str">
        <f>DGSP_ChiTiet!C67</f>
        <v>Đăng ký, cấp đổi, cấp lại Giấy chứng nhận riêng lẻ đối với tổ chức, tổ chức tôn giáo, tổ chức tôn giáo trực thuộc, tổ chức nước ngoài có chức năng ngoại giao, tổ chức kinh tế có vốn đầu tư nước ngoài, tổ chức nước ngoài, cá nhân nước ngoài</v>
      </c>
      <c r="C35" s="1640" t="str">
        <f>DGSP_ChiTiet!D67</f>
        <v>Hồ sơ</v>
      </c>
      <c r="D35" s="1640" t="str">
        <f>DGSP_ChiTiet!E67</f>
        <v>1-3</v>
      </c>
      <c r="E35" s="1662" t="str">
        <f>DGSP_ChiTiet!F67</f>
        <v>Đăng ký cấp GCN đối với đất</v>
      </c>
      <c r="F35" s="1662"/>
      <c r="G35" s="1662"/>
      <c r="H35" s="1662"/>
      <c r="I35" s="1662"/>
      <c r="J35" s="1662"/>
      <c r="K35" s="1662"/>
      <c r="L35" s="1662"/>
      <c r="M35" s="1663"/>
      <c r="N35" s="1002"/>
      <c r="O35" s="294"/>
      <c r="P35" s="1060">
        <f t="shared" si="0"/>
        <v>0</v>
      </c>
    </row>
    <row r="36" spans="1:16" s="83" customFormat="1" ht="15" customHeight="1">
      <c r="A36" s="1637"/>
      <c r="B36" s="1425"/>
      <c r="C36" s="1632"/>
      <c r="D36" s="1632"/>
      <c r="E36" s="294">
        <f>DGSP_ChiTiet!F68</f>
        <v>1328331.4199999997</v>
      </c>
      <c r="F36" s="294">
        <f>DGSP_ChiTiet!G68</f>
        <v>0</v>
      </c>
      <c r="G36" s="294">
        <f>DGSP_ChiTiet!H68</f>
        <v>15337.920879692307</v>
      </c>
      <c r="H36" s="294">
        <f>DGSP_ChiTiet!I68</f>
        <v>24019</v>
      </c>
      <c r="I36" s="294">
        <f>DGSP_ChiTiet!J68</f>
        <v>22041.186399999999</v>
      </c>
      <c r="J36" s="294">
        <f>DGSP_ChiTiet!K68</f>
        <v>32016.255453000002</v>
      </c>
      <c r="K36" s="294">
        <f>DGSP_ChiTiet!L68</f>
        <v>1421745.7827326921</v>
      </c>
      <c r="L36" s="294">
        <f>DGSP_ChiTiet!M68</f>
        <v>213261.86740990382</v>
      </c>
      <c r="M36" s="1009">
        <f>DGSP_ChiTiet!N68</f>
        <v>1635007.6501425959</v>
      </c>
      <c r="N36" s="1002">
        <f>DGSP_ChiTiet!O68</f>
        <v>81959.787000000011</v>
      </c>
      <c r="O36" s="294">
        <f>DGSP_ChiTiet!P68</f>
        <v>120702.69230769231</v>
      </c>
      <c r="P36" s="1060">
        <f t="shared" si="0"/>
        <v>1635007.6501425959</v>
      </c>
    </row>
    <row r="37" spans="1:16" s="83" customFormat="1" ht="15" customHeight="1">
      <c r="A37" s="1637"/>
      <c r="B37" s="1425"/>
      <c r="C37" s="1632"/>
      <c r="D37" s="1632"/>
      <c r="E37" s="1660" t="str">
        <f>DGSP_ChiTiet!Q67</f>
        <v>Đăng ký cấp GCN đối với tài sản</v>
      </c>
      <c r="F37" s="1660"/>
      <c r="G37" s="1660"/>
      <c r="H37" s="1660"/>
      <c r="I37" s="1660"/>
      <c r="J37" s="1660"/>
      <c r="K37" s="1660"/>
      <c r="L37" s="1660"/>
      <c r="M37" s="1661"/>
      <c r="N37" s="1002"/>
      <c r="O37" s="294"/>
      <c r="P37" s="1060">
        <f t="shared" si="0"/>
        <v>0</v>
      </c>
    </row>
    <row r="38" spans="1:16" s="83" customFormat="1" ht="15" customHeight="1">
      <c r="A38" s="1637"/>
      <c r="B38" s="1425"/>
      <c r="C38" s="1632"/>
      <c r="D38" s="1632"/>
      <c r="E38" s="294">
        <f>DGSP_ChiTiet!Q68</f>
        <v>1264142.2949999997</v>
      </c>
      <c r="F38" s="294">
        <f>DGSP_ChiTiet!R68</f>
        <v>0</v>
      </c>
      <c r="G38" s="294">
        <f>DGSP_ChiTiet!S68</f>
        <v>15337.920879692307</v>
      </c>
      <c r="H38" s="294">
        <f>DGSP_ChiTiet!T68</f>
        <v>24019</v>
      </c>
      <c r="I38" s="294">
        <f>DGSP_ChiTiet!U68</f>
        <v>22041.186399999999</v>
      </c>
      <c r="J38" s="294">
        <f>DGSP_ChiTiet!V68</f>
        <v>32016.255453000002</v>
      </c>
      <c r="K38" s="294">
        <f>DGSP_ChiTiet!W68</f>
        <v>1357556.6577326921</v>
      </c>
      <c r="L38" s="294">
        <f>DGSP_ChiTiet!X68</f>
        <v>203633.49865990379</v>
      </c>
      <c r="M38" s="1009">
        <f>DGSP_ChiTiet!Y68</f>
        <v>1561190.156392596</v>
      </c>
      <c r="N38" s="1002">
        <f>DGSP_ChiTiet!Z68</f>
        <v>76463.419500000018</v>
      </c>
      <c r="O38" s="294">
        <f>DGSP_ChiTiet!AA68</f>
        <v>118709.23076923077</v>
      </c>
      <c r="P38" s="1060">
        <f t="shared" si="0"/>
        <v>1561190.156392596</v>
      </c>
    </row>
    <row r="39" spans="1:16" s="83" customFormat="1" ht="15" customHeight="1">
      <c r="A39" s="1637"/>
      <c r="B39" s="1425"/>
      <c r="C39" s="1632"/>
      <c r="D39" s="1632"/>
      <c r="E39" s="1660" t="str">
        <f>DGSP_ChiTiet!AB67</f>
        <v>Đăng ký cấp GCN đối với đất và tài sản</v>
      </c>
      <c r="F39" s="1660"/>
      <c r="G39" s="1660"/>
      <c r="H39" s="1660"/>
      <c r="I39" s="1660"/>
      <c r="J39" s="1660"/>
      <c r="K39" s="1660"/>
      <c r="L39" s="1660"/>
      <c r="M39" s="1661"/>
      <c r="N39" s="1002"/>
      <c r="O39" s="294"/>
      <c r="P39" s="1060">
        <f t="shared" si="0"/>
        <v>0</v>
      </c>
    </row>
    <row r="40" spans="1:16" s="83" customFormat="1" ht="15" customHeight="1" thickBot="1">
      <c r="A40" s="1638"/>
      <c r="B40" s="1652"/>
      <c r="C40" s="1635"/>
      <c r="D40" s="1635"/>
      <c r="E40" s="1011">
        <f>DGSP_ChiTiet!AB68</f>
        <v>1818449.568</v>
      </c>
      <c r="F40" s="1011">
        <f>DGSP_ChiTiet!AC68</f>
        <v>0</v>
      </c>
      <c r="G40" s="1011">
        <f>DGSP_ChiTiet!AD68</f>
        <v>19939.297143600001</v>
      </c>
      <c r="H40" s="1011">
        <f>DGSP_ChiTiet!AE68</f>
        <v>24019</v>
      </c>
      <c r="I40" s="1011">
        <f>DGSP_ChiTiet!AF68</f>
        <v>28653.54232</v>
      </c>
      <c r="J40" s="1011">
        <f>DGSP_ChiTiet!AG68</f>
        <v>41621.132088900005</v>
      </c>
      <c r="K40" s="1011">
        <f>DGSP_ChiTiet!AH68</f>
        <v>1932682.5395525</v>
      </c>
      <c r="L40" s="1011">
        <f>DGSP_ChiTiet!AI68</f>
        <v>289902.38093287498</v>
      </c>
      <c r="M40" s="1012">
        <f>DGSP_ChiTiet!AJ68</f>
        <v>2222584.920485375</v>
      </c>
      <c r="N40" s="1002">
        <f>DGSP_ChiTiet!AK68</f>
        <v>114963.55650000004</v>
      </c>
      <c r="O40" s="294">
        <f>DGSP_ChiTiet!AL68</f>
        <v>165401.15384615387</v>
      </c>
      <c r="P40" s="1060">
        <f t="shared" si="0"/>
        <v>2222584.920485375</v>
      </c>
    </row>
    <row r="41" spans="1:16" s="83" customFormat="1">
      <c r="A41" s="1646" t="str">
        <f>DGSP_ChiTiet!B71</f>
        <v>VII</v>
      </c>
      <c r="B41" s="1670" t="str">
        <f>DGSP_ChiTiet!C71</f>
        <v>Đăng ký biến động đất đai đối với hộ gia đình, cá nhân, cộng đồng dân cư, người gốc Việt Nam định cư ở nước ngoài</v>
      </c>
      <c r="C41" s="1008">
        <f>DGSP_ChiTiet!D71</f>
        <v>0</v>
      </c>
      <c r="D41" s="1013">
        <f>DGSP_ChiTiet!E71</f>
        <v>0</v>
      </c>
      <c r="E41" s="1664" t="str">
        <f>DGSP_ChiTiet!F71</f>
        <v>Đăng ký cấp GCN đối với đất</v>
      </c>
      <c r="F41" s="1664"/>
      <c r="G41" s="1664"/>
      <c r="H41" s="1664"/>
      <c r="I41" s="1664"/>
      <c r="J41" s="1664"/>
      <c r="K41" s="1664"/>
      <c r="L41" s="1664"/>
      <c r="M41" s="1665"/>
      <c r="N41" s="1002"/>
      <c r="O41" s="294"/>
      <c r="P41" s="1060">
        <f t="shared" si="0"/>
        <v>0</v>
      </c>
    </row>
    <row r="42" spans="1:16" s="83" customFormat="1" ht="16.5" customHeight="1">
      <c r="A42" s="1647"/>
      <c r="B42" s="1671"/>
      <c r="C42" s="523" t="str">
        <f>DGSP_ChiTiet!D72</f>
        <v>Hồ sơ</v>
      </c>
      <c r="D42" s="522">
        <f>DGSP_ChiTiet!E72</f>
        <v>0</v>
      </c>
      <c r="E42" s="294">
        <f>DGSP_ChiTiet!F72</f>
        <v>1854215.415</v>
      </c>
      <c r="F42" s="294">
        <f>DGSP_ChiTiet!G72</f>
        <v>0</v>
      </c>
      <c r="G42" s="294">
        <f>DGSP_ChiTiet!H72</f>
        <v>15588.302071794873</v>
      </c>
      <c r="H42" s="294">
        <f>DGSP_ChiTiet!I72</f>
        <v>22899.599999999999</v>
      </c>
      <c r="I42" s="294">
        <f>DGSP_ChiTiet!J72</f>
        <v>13908.5008</v>
      </c>
      <c r="J42" s="294">
        <f>DGSP_ChiTiet!K72</f>
        <v>17938.889104499998</v>
      </c>
      <c r="K42" s="294">
        <f>DGSP_ChiTiet!L72</f>
        <v>1924550.706976295</v>
      </c>
      <c r="L42" s="294">
        <f>DGSP_ChiTiet!M72</f>
        <v>288682.60604644421</v>
      </c>
      <c r="M42" s="1009">
        <f>DGSP_ChiTiet!N72</f>
        <v>2213233.3130227393</v>
      </c>
      <c r="N42" s="1002">
        <f>DGSP_ChiTiet!O72</f>
        <v>98397.760499999989</v>
      </c>
      <c r="O42" s="294">
        <f>DGSP_ChiTiet!P72</f>
        <v>108068.07692307694</v>
      </c>
      <c r="P42" s="1060">
        <f t="shared" si="0"/>
        <v>2213233.3130227393</v>
      </c>
    </row>
    <row r="43" spans="1:16" s="83" customFormat="1" ht="16.5" customHeight="1">
      <c r="A43" s="1647"/>
      <c r="B43" s="1671"/>
      <c r="C43" s="523"/>
      <c r="D43" s="522"/>
      <c r="E43" s="1428" t="str">
        <f>DGSP_ChiTiet!Q71</f>
        <v>Đăng ký cấp GCN đối với tài sản</v>
      </c>
      <c r="F43" s="1428"/>
      <c r="G43" s="1428"/>
      <c r="H43" s="1428"/>
      <c r="I43" s="1428"/>
      <c r="J43" s="1428"/>
      <c r="K43" s="1428"/>
      <c r="L43" s="1428"/>
      <c r="M43" s="1669"/>
      <c r="N43" s="1002"/>
      <c r="O43" s="294"/>
      <c r="P43" s="1060">
        <f t="shared" si="0"/>
        <v>0</v>
      </c>
    </row>
    <row r="44" spans="1:16" s="83" customFormat="1" ht="16.5" customHeight="1">
      <c r="A44" s="1647"/>
      <c r="B44" s="1671"/>
      <c r="C44" s="523" t="str">
        <f>C42</f>
        <v>Hồ sơ</v>
      </c>
      <c r="D44" s="522"/>
      <c r="E44" s="294">
        <f>DGSP_ChiTiet!Q72</f>
        <v>2017939.365</v>
      </c>
      <c r="F44" s="294">
        <f>DGSP_ChiTiet!R72</f>
        <v>0</v>
      </c>
      <c r="G44" s="294">
        <f>DGSP_ChiTiet!S72</f>
        <v>15588.302071794873</v>
      </c>
      <c r="H44" s="294">
        <f>DGSP_ChiTiet!T72</f>
        <v>22899.599999999999</v>
      </c>
      <c r="I44" s="294">
        <f>DGSP_ChiTiet!U72</f>
        <v>13908.5008</v>
      </c>
      <c r="J44" s="294">
        <f>DGSP_ChiTiet!V72</f>
        <v>17938.889104499998</v>
      </c>
      <c r="K44" s="294">
        <f>DGSP_ChiTiet!W72</f>
        <v>2088274.6569762949</v>
      </c>
      <c r="L44" s="294">
        <f>DGSP_ChiTiet!X72</f>
        <v>313241.19854644424</v>
      </c>
      <c r="M44" s="1009">
        <f>DGSP_ChiTiet!Y72</f>
        <v>2401515.8555227392</v>
      </c>
      <c r="N44" s="1002">
        <f>DGSP_ChiTiet!Z72</f>
        <v>112969.5255</v>
      </c>
      <c r="O44" s="294">
        <f>DGSP_ChiTiet!AA72</f>
        <v>124071.92307692309</v>
      </c>
      <c r="P44" s="1060">
        <f t="shared" si="0"/>
        <v>2401515.8555227392</v>
      </c>
    </row>
    <row r="45" spans="1:16" s="83" customFormat="1" ht="16.5" customHeight="1">
      <c r="A45" s="1647"/>
      <c r="B45" s="1671"/>
      <c r="C45" s="523">
        <f>C41</f>
        <v>0</v>
      </c>
      <c r="D45" s="522"/>
      <c r="E45" s="1428" t="str">
        <f>DGSP_ChiTiet!AB71</f>
        <v>Đăng ký cấp GCN đối với đất và tài sản</v>
      </c>
      <c r="F45" s="1428"/>
      <c r="G45" s="1428"/>
      <c r="H45" s="1428"/>
      <c r="I45" s="1428"/>
      <c r="J45" s="1428"/>
      <c r="K45" s="1428"/>
      <c r="L45" s="1428"/>
      <c r="M45" s="1669"/>
      <c r="N45" s="1002"/>
      <c r="O45" s="294"/>
      <c r="P45" s="1060">
        <f t="shared" si="0"/>
        <v>0</v>
      </c>
    </row>
    <row r="46" spans="1:16" s="83" customFormat="1" ht="16.5" customHeight="1" thickBot="1">
      <c r="A46" s="1648"/>
      <c r="B46" s="1672"/>
      <c r="C46" s="1010" t="str">
        <f>C42</f>
        <v>Hồ sơ</v>
      </c>
      <c r="D46" s="1014"/>
      <c r="E46" s="1011">
        <f>DGSP_ChiTiet!AB72</f>
        <v>2538161.3789999997</v>
      </c>
      <c r="F46" s="1011">
        <f>DGSP_ChiTiet!AC72</f>
        <v>0</v>
      </c>
      <c r="G46" s="1011">
        <f>DGSP_ChiTiet!AD72</f>
        <v>20264.792693333337</v>
      </c>
      <c r="H46" s="1011">
        <f>DGSP_ChiTiet!AE72</f>
        <v>22899.599999999999</v>
      </c>
      <c r="I46" s="1011">
        <f>DGSP_ChiTiet!AF72</f>
        <v>18081.051040000002</v>
      </c>
      <c r="J46" s="1011">
        <f>DGSP_ChiTiet!AG72</f>
        <v>23320.555835849998</v>
      </c>
      <c r="K46" s="1011">
        <f>DGSP_ChiTiet!AH72</f>
        <v>2622727.3785691829</v>
      </c>
      <c r="L46" s="1011">
        <f>DGSP_ChiTiet!AI72</f>
        <v>393409.10678537743</v>
      </c>
      <c r="M46" s="1012">
        <f>DGSP_ChiTiet!AJ72</f>
        <v>3016136.4853545604</v>
      </c>
      <c r="N46" s="1002">
        <f>DGSP_ChiTiet!AK72</f>
        <v>144516.11849999998</v>
      </c>
      <c r="O46" s="294">
        <f>DGSP_ChiTiet!AL72</f>
        <v>158718.84615384619</v>
      </c>
      <c r="P46" s="1060">
        <f t="shared" si="0"/>
        <v>3016136.4853545604</v>
      </c>
    </row>
    <row r="47" spans="1:16" s="83" customFormat="1" ht="16.5" customHeight="1">
      <c r="A47" s="1636" t="str">
        <f>DGSP_ChiTiet!B75</f>
        <v>VIII</v>
      </c>
      <c r="B47" s="1666" t="str">
        <f>DGSP_ChiTiet!C75</f>
        <v xml:space="preserve">Đăng ký biến động đất đai đối với tổ chức, tổ chức tôn giáo, tổ chức tôn giáo trực thuộc, tổ chức nước ngoài có chức năng ngoại giao, tổ chức kinh tế có vốn đầu tư nước ngoài, tổ chức nước ngoài, cá nhân nước ngoài </v>
      </c>
      <c r="C47" s="1640" t="str">
        <f>DGSP_ChiTiet!D75</f>
        <v>Hồ sơ</v>
      </c>
      <c r="D47" s="1640" t="str">
        <f>DGSP_ChiTiet!E75</f>
        <v>1-3</v>
      </c>
      <c r="E47" s="1664" t="str">
        <f>DGSP_ChiTiet!F75</f>
        <v>Đăng ký cấp GCN đối với đất</v>
      </c>
      <c r="F47" s="1664">
        <f>DGSP_ChiTiet!G75</f>
        <v>0</v>
      </c>
      <c r="G47" s="1664">
        <f>DGSP_ChiTiet!H75</f>
        <v>0</v>
      </c>
      <c r="H47" s="1664">
        <f>DGSP_ChiTiet!I75</f>
        <v>0</v>
      </c>
      <c r="I47" s="1664">
        <f>DGSP_ChiTiet!J75</f>
        <v>0</v>
      </c>
      <c r="J47" s="1664">
        <f>DGSP_ChiTiet!K75</f>
        <v>0</v>
      </c>
      <c r="K47" s="1664">
        <f>DGSP_ChiTiet!L75</f>
        <v>0</v>
      </c>
      <c r="L47" s="1664">
        <f>DGSP_ChiTiet!M75</f>
        <v>0</v>
      </c>
      <c r="M47" s="1665">
        <f>DGSP_ChiTiet!N75</f>
        <v>0</v>
      </c>
      <c r="N47" s="1002">
        <f>DGSP_ChiTiet!O75</f>
        <v>0</v>
      </c>
      <c r="O47" s="294">
        <f>DGSP_ChiTiet!P75</f>
        <v>0</v>
      </c>
      <c r="P47" s="1060">
        <f t="shared" si="0"/>
        <v>0</v>
      </c>
    </row>
    <row r="48" spans="1:16" s="83" customFormat="1" ht="16.5" customHeight="1">
      <c r="A48" s="1637"/>
      <c r="B48" s="1667"/>
      <c r="C48" s="1632"/>
      <c r="D48" s="1632"/>
      <c r="E48" s="294">
        <f>DGSP_ChiTiet!F76</f>
        <v>2610366.6419999995</v>
      </c>
      <c r="F48" s="294">
        <f>DGSP_ChiTiet!G76</f>
        <v>0</v>
      </c>
      <c r="G48" s="294">
        <f>DGSP_ChiTiet!H76</f>
        <v>17595.951229692309</v>
      </c>
      <c r="H48" s="294">
        <f>DGSP_ChiTiet!I76</f>
        <v>18337</v>
      </c>
      <c r="I48" s="294">
        <f>DGSP_ChiTiet!J76</f>
        <v>20820.4728</v>
      </c>
      <c r="J48" s="294">
        <f>DGSP_ChiTiet!K76</f>
        <v>30241.982725500002</v>
      </c>
      <c r="K48" s="294">
        <f>DGSP_ChiTiet!L76</f>
        <v>2697362.0487551922</v>
      </c>
      <c r="L48" s="294">
        <f>DGSP_ChiTiet!M76</f>
        <v>404604.30731327884</v>
      </c>
      <c r="M48" s="1009">
        <f>DGSP_ChiTiet!N76</f>
        <v>3101966.356068471</v>
      </c>
      <c r="N48" s="1002">
        <f>DGSP_ChiTiet!O76</f>
        <v>168827.95799999998</v>
      </c>
      <c r="O48" s="294">
        <f>DGSP_ChiTiet!P76</f>
        <v>185420</v>
      </c>
      <c r="P48" s="1060">
        <f t="shared" si="0"/>
        <v>3101966.356068471</v>
      </c>
    </row>
    <row r="49" spans="1:16" s="83" customFormat="1" ht="16.5" customHeight="1">
      <c r="A49" s="1637"/>
      <c r="B49" s="1667"/>
      <c r="C49" s="1632"/>
      <c r="D49" s="1632"/>
      <c r="E49" s="1428" t="str">
        <f>DGSP_ChiTiet!Q75</f>
        <v>Đăng ký cấp GCN đối với tài sản</v>
      </c>
      <c r="F49" s="1428">
        <f>DGSP_ChiTiet!R75</f>
        <v>0</v>
      </c>
      <c r="G49" s="1428">
        <f>DGSP_ChiTiet!S75</f>
        <v>0</v>
      </c>
      <c r="H49" s="1428">
        <f>DGSP_ChiTiet!T75</f>
        <v>0</v>
      </c>
      <c r="I49" s="1428">
        <f>DGSP_ChiTiet!U75</f>
        <v>0</v>
      </c>
      <c r="J49" s="1428">
        <f>DGSP_ChiTiet!V75</f>
        <v>0</v>
      </c>
      <c r="K49" s="1428">
        <f>DGSP_ChiTiet!W75</f>
        <v>0</v>
      </c>
      <c r="L49" s="1428">
        <f>DGSP_ChiTiet!X75</f>
        <v>0</v>
      </c>
      <c r="M49" s="1669">
        <f>DGSP_ChiTiet!Y75</f>
        <v>0</v>
      </c>
      <c r="N49" s="1002">
        <f>DGSP_ChiTiet!Z75</f>
        <v>0</v>
      </c>
      <c r="O49" s="294">
        <f>DGSP_ChiTiet!AA75</f>
        <v>0</v>
      </c>
      <c r="P49" s="1060">
        <f t="shared" si="0"/>
        <v>0</v>
      </c>
    </row>
    <row r="50" spans="1:16" s="83" customFormat="1" ht="16.5" customHeight="1">
      <c r="A50" s="1637"/>
      <c r="B50" s="1667"/>
      <c r="C50" s="1632"/>
      <c r="D50" s="1632"/>
      <c r="E50" s="294">
        <f>DGSP_ChiTiet!Q76</f>
        <v>2570852.8169999993</v>
      </c>
      <c r="F50" s="294">
        <f>DGSP_ChiTiet!R76</f>
        <v>0</v>
      </c>
      <c r="G50" s="294">
        <f>DGSP_ChiTiet!S76</f>
        <v>17595.951229692309</v>
      </c>
      <c r="H50" s="294">
        <f>DGSP_ChiTiet!T76</f>
        <v>18337</v>
      </c>
      <c r="I50" s="294">
        <f>DGSP_ChiTiet!U76</f>
        <v>20820.4728</v>
      </c>
      <c r="J50" s="294">
        <f>DGSP_ChiTiet!V76</f>
        <v>30241.982725500002</v>
      </c>
      <c r="K50" s="294">
        <f>DGSP_ChiTiet!W76</f>
        <v>2657848.223755192</v>
      </c>
      <c r="L50" s="294">
        <f>DGSP_ChiTiet!X76</f>
        <v>398677.2335632788</v>
      </c>
      <c r="M50" s="1009">
        <f>DGSP_ChiTiet!Y76</f>
        <v>3056525.4573184708</v>
      </c>
      <c r="N50" s="1002">
        <f>DGSP_ChiTiet!Z76</f>
        <v>168291.1035</v>
      </c>
      <c r="O50" s="294">
        <f>DGSP_ChiTiet!AA76</f>
        <v>184830.38461538462</v>
      </c>
      <c r="P50" s="1060">
        <f t="shared" si="0"/>
        <v>3056525.4573184708</v>
      </c>
    </row>
    <row r="51" spans="1:16" s="83" customFormat="1" ht="16.5" customHeight="1">
      <c r="A51" s="1637"/>
      <c r="B51" s="1667"/>
      <c r="C51" s="1632"/>
      <c r="D51" s="1632"/>
      <c r="E51" s="1428" t="str">
        <f>DGSP_ChiTiet!AB75</f>
        <v>Đăng ký cấp GCN đối với đất và tài sản</v>
      </c>
      <c r="F51" s="1428">
        <f>DGSP_ChiTiet!AC75</f>
        <v>0</v>
      </c>
      <c r="G51" s="1428">
        <f>DGSP_ChiTiet!AD75</f>
        <v>0</v>
      </c>
      <c r="H51" s="1428">
        <f>DGSP_ChiTiet!AE75</f>
        <v>0</v>
      </c>
      <c r="I51" s="1428">
        <f>DGSP_ChiTiet!AF75</f>
        <v>0</v>
      </c>
      <c r="J51" s="1428">
        <f>DGSP_ChiTiet!AG75</f>
        <v>0</v>
      </c>
      <c r="K51" s="1428">
        <f>DGSP_ChiTiet!AH75</f>
        <v>0</v>
      </c>
      <c r="L51" s="1428">
        <f>DGSP_ChiTiet!AI75</f>
        <v>0</v>
      </c>
      <c r="M51" s="1669">
        <f>DGSP_ChiTiet!AJ75</f>
        <v>0</v>
      </c>
      <c r="N51" s="1002">
        <f>DGSP_ChiTiet!AK75</f>
        <v>0</v>
      </c>
      <c r="O51" s="294">
        <f>DGSP_ChiTiet!AL75</f>
        <v>0</v>
      </c>
      <c r="P51" s="1060">
        <f t="shared" si="0"/>
        <v>0</v>
      </c>
    </row>
    <row r="52" spans="1:16" s="83" customFormat="1" ht="16.5" customHeight="1" thickBot="1">
      <c r="A52" s="1638"/>
      <c r="B52" s="1668"/>
      <c r="C52" s="1635"/>
      <c r="D52" s="1635"/>
      <c r="E52" s="1011">
        <f>DGSP_ChiTiet!AB76</f>
        <v>3284705.9114999995</v>
      </c>
      <c r="F52" s="1011">
        <f>DGSP_ChiTiet!AC76</f>
        <v>0</v>
      </c>
      <c r="G52" s="1011">
        <f>DGSP_ChiTiet!AD76</f>
        <v>22874.736598600004</v>
      </c>
      <c r="H52" s="1011">
        <f>DGSP_ChiTiet!AE76</f>
        <v>23838.100000000002</v>
      </c>
      <c r="I52" s="1011">
        <f>DGSP_ChiTiet!AF76</f>
        <v>27066.61464</v>
      </c>
      <c r="J52" s="1011">
        <f>DGSP_ChiTiet!AG76</f>
        <v>39314.577543150008</v>
      </c>
      <c r="K52" s="1011">
        <f>DGSP_ChiTiet!AH76</f>
        <v>3397799.9402817497</v>
      </c>
      <c r="L52" s="1011">
        <f>DGSP_ChiTiet!AI76</f>
        <v>509669.99104226241</v>
      </c>
      <c r="M52" s="1012">
        <f>DGSP_ChiTiet!AJ76</f>
        <v>3907469.9313240121</v>
      </c>
      <c r="N52" s="1002">
        <f>DGSP_ChiTiet!AK76</f>
        <v>216608.0085</v>
      </c>
      <c r="O52" s="294">
        <f>DGSP_ChiTiet!AL76</f>
        <v>237895.76923076922</v>
      </c>
      <c r="P52" s="1060">
        <f t="shared" si="0"/>
        <v>3907469.9313240121</v>
      </c>
    </row>
    <row r="53" spans="1:16" s="86" customFormat="1" ht="16.5" customHeight="1" thickBot="1">
      <c r="A53" s="1017" t="str">
        <f>DGSP_ChiTiet!B79</f>
        <v>IX</v>
      </c>
      <c r="B53" s="1018" t="str">
        <f>DGSP_ChiTiet!C79</f>
        <v>TRÍCH LỤC HỒ SƠ ĐỊA CHÍNH</v>
      </c>
      <c r="C53" s="1019" t="str">
        <f>DGSP_ChiTiet!D79</f>
        <v>Hồ sơ</v>
      </c>
      <c r="D53" s="1019">
        <f>DGSP_ChiTiet!E79</f>
        <v>1</v>
      </c>
      <c r="E53" s="1020">
        <f>DGSP_ChiTiet!F79</f>
        <v>59354.100000000006</v>
      </c>
      <c r="F53" s="1020">
        <f>DGSP_ChiTiet!G79</f>
        <v>0</v>
      </c>
      <c r="G53" s="1020">
        <f>DGSP_ChiTiet!H79</f>
        <v>976.95772709790219</v>
      </c>
      <c r="H53" s="1020">
        <f>DGSP_ChiTiet!I79</f>
        <v>15597</v>
      </c>
      <c r="I53" s="1020">
        <f>DGSP_ChiTiet!J79</f>
        <v>2433.2399999999998</v>
      </c>
      <c r="J53" s="1020">
        <f>DGSP_ChiTiet!K79</f>
        <v>4809.2709210000012</v>
      </c>
      <c r="K53" s="1020">
        <f>DGSP_ChiTiet!L79</f>
        <v>83170.56864809792</v>
      </c>
      <c r="L53" s="1020">
        <f>DGSP_ChiTiet!M79</f>
        <v>12475.585297214688</v>
      </c>
      <c r="M53" s="1021">
        <f>DGSP_ChiTiet!N79</f>
        <v>95646.153945312602</v>
      </c>
      <c r="N53" s="1002">
        <f>DGSP_ChiTiet!O79</f>
        <v>5112.9000000000005</v>
      </c>
      <c r="O53" s="294">
        <f>DGSP_ChiTiet!P79</f>
        <v>5615.3846153846162</v>
      </c>
      <c r="P53" s="1060">
        <f t="shared" si="0"/>
        <v>95646.153945312602</v>
      </c>
    </row>
    <row r="54" spans="1:16">
      <c r="A54" s="84">
        <f>DGSP_ChiTiet!B85</f>
        <v>0</v>
      </c>
      <c r="B54" s="85">
        <f>DGSP_ChiTiet!C85</f>
        <v>0</v>
      </c>
      <c r="C54" s="84">
        <f>DGSP_ChiTiet!D85</f>
        <v>0</v>
      </c>
      <c r="D54" s="84">
        <f>DGSP_ChiTiet!E85</f>
        <v>0</v>
      </c>
      <c r="E54" s="85">
        <f>DGSP_ChiTiet!F85</f>
        <v>0</v>
      </c>
      <c r="F54" s="85">
        <f>DGSP_ChiTiet!G85</f>
        <v>0</v>
      </c>
      <c r="G54" s="85">
        <f>DGSP_ChiTiet!H85</f>
        <v>0</v>
      </c>
      <c r="H54" s="85">
        <f>DGSP_ChiTiet!I85</f>
        <v>0</v>
      </c>
      <c r="I54" s="85">
        <f>DGSP_ChiTiet!J85</f>
        <v>0</v>
      </c>
      <c r="J54" s="85">
        <f>DGSP_ChiTiet!K85</f>
        <v>0</v>
      </c>
      <c r="K54" s="85">
        <f>DGSP_ChiTiet!L85</f>
        <v>0</v>
      </c>
      <c r="L54" s="85">
        <f>DGSP_ChiTiet!M85</f>
        <v>0</v>
      </c>
      <c r="M54" s="286">
        <f>DGSP_ChiTiet!N85</f>
        <v>0</v>
      </c>
      <c r="N54" s="85">
        <f>DGSP_ChiTiet!O85</f>
        <v>0</v>
      </c>
      <c r="O54" s="85">
        <f>DGSP_ChiTiet!P85</f>
        <v>0</v>
      </c>
    </row>
    <row r="55" spans="1:16">
      <c r="A55" s="84">
        <f>DGSP_ChiTiet!B86</f>
        <v>0</v>
      </c>
      <c r="B55" s="85">
        <f>DGSP_ChiTiet!C86</f>
        <v>0</v>
      </c>
      <c r="C55" s="84">
        <f>DGSP_ChiTiet!D86</f>
        <v>0</v>
      </c>
      <c r="D55" s="84">
        <f>DGSP_ChiTiet!E86</f>
        <v>0</v>
      </c>
      <c r="E55" s="85">
        <f>DGSP_ChiTiet!F86</f>
        <v>0</v>
      </c>
      <c r="F55" s="85">
        <f>DGSP_ChiTiet!G86</f>
        <v>0</v>
      </c>
      <c r="G55" s="85">
        <f>DGSP_ChiTiet!H86</f>
        <v>0</v>
      </c>
      <c r="H55" s="85">
        <f>DGSP_ChiTiet!I86</f>
        <v>0</v>
      </c>
      <c r="I55" s="85">
        <f>DGSP_ChiTiet!J86</f>
        <v>0</v>
      </c>
      <c r="J55" s="85">
        <f>DGSP_ChiTiet!K86</f>
        <v>0</v>
      </c>
      <c r="K55" s="85">
        <f>DGSP_ChiTiet!L86</f>
        <v>0</v>
      </c>
      <c r="L55" s="85">
        <f>DGSP_ChiTiet!M86</f>
        <v>0</v>
      </c>
      <c r="M55" s="286">
        <f>DGSP_ChiTiet!N86</f>
        <v>0</v>
      </c>
      <c r="N55" s="85">
        <f>DGSP_ChiTiet!O86</f>
        <v>0</v>
      </c>
      <c r="O55" s="85">
        <f>DGSP_ChiTiet!P86</f>
        <v>0</v>
      </c>
    </row>
  </sheetData>
  <mergeCells count="61">
    <mergeCell ref="C18:C25"/>
    <mergeCell ref="E47:M47"/>
    <mergeCell ref="E49:M49"/>
    <mergeCell ref="E51:M51"/>
    <mergeCell ref="E41:M41"/>
    <mergeCell ref="E43:M43"/>
    <mergeCell ref="E39:M39"/>
    <mergeCell ref="E22:M22"/>
    <mergeCell ref="A47:A52"/>
    <mergeCell ref="B47:B52"/>
    <mergeCell ref="C47:C52"/>
    <mergeCell ref="D47:D52"/>
    <mergeCell ref="E45:M45"/>
    <mergeCell ref="B41:B46"/>
    <mergeCell ref="A41:A46"/>
    <mergeCell ref="A26:A28"/>
    <mergeCell ref="B26:B28"/>
    <mergeCell ref="A29:A34"/>
    <mergeCell ref="D29:D34"/>
    <mergeCell ref="E37:M37"/>
    <mergeCell ref="A35:A40"/>
    <mergeCell ref="B35:B40"/>
    <mergeCell ref="C35:C40"/>
    <mergeCell ref="D35:D40"/>
    <mergeCell ref="E35:M35"/>
    <mergeCell ref="E33:M33"/>
    <mergeCell ref="C26:C28"/>
    <mergeCell ref="C29:C34"/>
    <mergeCell ref="E29:M29"/>
    <mergeCell ref="E31:M31"/>
    <mergeCell ref="B29:B34"/>
    <mergeCell ref="A1:N1"/>
    <mergeCell ref="A2:N2"/>
    <mergeCell ref="J3:L3"/>
    <mergeCell ref="A4:A6"/>
    <mergeCell ref="B4:B6"/>
    <mergeCell ref="N4:N5"/>
    <mergeCell ref="H4:H6"/>
    <mergeCell ref="I4:I6"/>
    <mergeCell ref="O4:O6"/>
    <mergeCell ref="K4:K6"/>
    <mergeCell ref="L4:L5"/>
    <mergeCell ref="G4:G6"/>
    <mergeCell ref="M4:M6"/>
    <mergeCell ref="J4:J6"/>
    <mergeCell ref="C15:C17"/>
    <mergeCell ref="A18:A25"/>
    <mergeCell ref="D4:D6"/>
    <mergeCell ref="E4:E6"/>
    <mergeCell ref="F4:F6"/>
    <mergeCell ref="C7:C9"/>
    <mergeCell ref="E18:M18"/>
    <mergeCell ref="B10:B17"/>
    <mergeCell ref="A10:A17"/>
    <mergeCell ref="E10:M10"/>
    <mergeCell ref="E14:M14"/>
    <mergeCell ref="C11:C13"/>
    <mergeCell ref="A7:A9"/>
    <mergeCell ref="B7:B9"/>
    <mergeCell ref="C4:C6"/>
    <mergeCell ref="B18:B25"/>
  </mergeCells>
  <printOptions horizontalCentered="1"/>
  <pageMargins left="0.5" right="0.4" top="0.5" bottom="0.45" header="0.196850393700787" footer="0.196850393700787"/>
  <pageSetup paperSize="9" orientation="landscape" horizontalDpi="300" verticalDpi="300" r:id="rId1"/>
  <headerFooter alignWithMargins="0">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sheetPr>
  <dimension ref="A1:U55"/>
  <sheetViews>
    <sheetView zoomScale="80" zoomScaleNormal="80" workbookViewId="0">
      <pane xSplit="2" ySplit="6" topLeftCell="C7" activePane="bottomRight" state="frozen"/>
      <selection pane="topRight" activeCell="C1" sqref="C1"/>
      <selection pane="bottomLeft" activeCell="A7" sqref="A7"/>
      <selection pane="bottomRight" activeCell="W49" sqref="W49"/>
    </sheetView>
  </sheetViews>
  <sheetFormatPr defaultColWidth="9" defaultRowHeight="15.75"/>
  <cols>
    <col min="1" max="1" width="3.88671875" style="329" bestFit="1" customWidth="1"/>
    <col min="2" max="2" width="28.21875" style="329" customWidth="1"/>
    <col min="3" max="3" width="6.21875" style="329" bestFit="1" customWidth="1"/>
    <col min="4" max="5" width="9.109375" style="329" bestFit="1" customWidth="1"/>
    <col min="6" max="6" width="9" style="329" bestFit="1" customWidth="1"/>
    <col min="7" max="7" width="7.44140625" style="329" bestFit="1" customWidth="1"/>
    <col min="8" max="8" width="8.109375" style="346" customWidth="1"/>
    <col min="9" max="9" width="5.44140625" style="329" bestFit="1" customWidth="1"/>
    <col min="10" max="11" width="9.109375" style="329" bestFit="1" customWidth="1"/>
    <col min="12" max="12" width="9" style="329" bestFit="1" customWidth="1"/>
    <col min="13" max="13" width="9.109375" style="329" bestFit="1" customWidth="1"/>
    <col min="14" max="14" width="8.109375" style="346" bestFit="1" customWidth="1"/>
    <col min="15" max="15" width="7.88671875" style="329" customWidth="1"/>
    <col min="16" max="17" width="9.109375" style="329" bestFit="1" customWidth="1"/>
    <col min="18" max="18" width="9" style="329" bestFit="1" customWidth="1"/>
    <col min="19" max="19" width="7.44140625" style="329" bestFit="1" customWidth="1"/>
    <col min="20" max="20" width="7.88671875" style="346" customWidth="1"/>
    <col min="21" max="21" width="6.44140625" style="329" bestFit="1" customWidth="1"/>
    <col min="22" max="16384" width="9" style="329"/>
  </cols>
  <sheetData>
    <row r="1" spans="1:21" ht="48.75" customHeight="1" thickBot="1">
      <c r="A1" s="1693" t="s">
        <v>520</v>
      </c>
      <c r="B1" s="1694"/>
      <c r="C1" s="1694"/>
      <c r="D1" s="1694"/>
      <c r="E1" s="1694"/>
      <c r="F1" s="1694"/>
      <c r="G1" s="1694"/>
      <c r="H1" s="1694"/>
      <c r="I1" s="1694"/>
      <c r="J1" s="1694"/>
      <c r="K1" s="1694"/>
      <c r="L1" s="1694"/>
      <c r="M1" s="1694"/>
      <c r="N1" s="1694"/>
      <c r="O1" s="1694"/>
      <c r="P1" s="1694"/>
      <c r="Q1" s="1694"/>
      <c r="R1" s="1694"/>
      <c r="S1" s="1694"/>
      <c r="T1" s="1694"/>
      <c r="U1" s="1694"/>
    </row>
    <row r="2" spans="1:21" ht="16.5">
      <c r="A2" s="1695" t="s">
        <v>29</v>
      </c>
      <c r="B2" s="1697" t="s">
        <v>521</v>
      </c>
      <c r="C2" s="1697" t="s">
        <v>535</v>
      </c>
      <c r="D2" s="1697" t="s">
        <v>522</v>
      </c>
      <c r="E2" s="1697"/>
      <c r="F2" s="1697"/>
      <c r="G2" s="1697"/>
      <c r="H2" s="1697"/>
      <c r="I2" s="1697"/>
      <c r="J2" s="1697" t="s">
        <v>523</v>
      </c>
      <c r="K2" s="1699"/>
      <c r="L2" s="1699"/>
      <c r="M2" s="1699"/>
      <c r="N2" s="1699"/>
      <c r="O2" s="1699"/>
      <c r="P2" s="1697" t="s">
        <v>524</v>
      </c>
      <c r="Q2" s="1697"/>
      <c r="R2" s="1697"/>
      <c r="S2" s="1697"/>
      <c r="T2" s="1700"/>
      <c r="U2" s="1701"/>
    </row>
    <row r="3" spans="1:21">
      <c r="A3" s="1696"/>
      <c r="B3" s="1698"/>
      <c r="C3" s="1698"/>
      <c r="D3" s="1688" t="s">
        <v>536</v>
      </c>
      <c r="E3" s="1688" t="s">
        <v>537</v>
      </c>
      <c r="F3" s="1688" t="s">
        <v>538</v>
      </c>
      <c r="G3" s="1688" t="s">
        <v>542</v>
      </c>
      <c r="H3" s="1688"/>
      <c r="I3" s="1688"/>
      <c r="J3" s="1688" t="s">
        <v>536</v>
      </c>
      <c r="K3" s="1688" t="s">
        <v>537</v>
      </c>
      <c r="L3" s="1688" t="s">
        <v>538</v>
      </c>
      <c r="M3" s="1688" t="s">
        <v>542</v>
      </c>
      <c r="N3" s="1688"/>
      <c r="O3" s="1688"/>
      <c r="P3" s="1688" t="s">
        <v>536</v>
      </c>
      <c r="Q3" s="1688" t="s">
        <v>537</v>
      </c>
      <c r="R3" s="1688" t="s">
        <v>538</v>
      </c>
      <c r="S3" s="1688" t="s">
        <v>542</v>
      </c>
      <c r="T3" s="1688"/>
      <c r="U3" s="1689"/>
    </row>
    <row r="4" spans="1:21" ht="15" customHeight="1">
      <c r="A4" s="1696"/>
      <c r="B4" s="1698"/>
      <c r="C4" s="1698"/>
      <c r="D4" s="1688"/>
      <c r="E4" s="1688"/>
      <c r="F4" s="1688"/>
      <c r="G4" s="1688" t="s">
        <v>539</v>
      </c>
      <c r="H4" s="1692" t="s">
        <v>539</v>
      </c>
      <c r="I4" s="1688" t="s">
        <v>541</v>
      </c>
      <c r="J4" s="1688"/>
      <c r="K4" s="1688"/>
      <c r="L4" s="1688"/>
      <c r="M4" s="1688" t="s">
        <v>539</v>
      </c>
      <c r="N4" s="1692" t="s">
        <v>539</v>
      </c>
      <c r="O4" s="1688" t="s">
        <v>541</v>
      </c>
      <c r="P4" s="1688"/>
      <c r="Q4" s="1688"/>
      <c r="R4" s="1688"/>
      <c r="S4" s="1688" t="s">
        <v>539</v>
      </c>
      <c r="T4" s="1692" t="s">
        <v>539</v>
      </c>
      <c r="U4" s="1689" t="s">
        <v>540</v>
      </c>
    </row>
    <row r="5" spans="1:21" ht="15" customHeight="1">
      <c r="A5" s="1696"/>
      <c r="B5" s="1698"/>
      <c r="C5" s="1698"/>
      <c r="D5" s="1688"/>
      <c r="E5" s="1688"/>
      <c r="F5" s="1688"/>
      <c r="G5" s="1688"/>
      <c r="H5" s="1692"/>
      <c r="I5" s="1688"/>
      <c r="J5" s="1688"/>
      <c r="K5" s="1688"/>
      <c r="L5" s="1688"/>
      <c r="M5" s="1688"/>
      <c r="N5" s="1692"/>
      <c r="O5" s="1688"/>
      <c r="P5" s="1688"/>
      <c r="Q5" s="1688"/>
      <c r="R5" s="1688"/>
      <c r="S5" s="1688"/>
      <c r="T5" s="1692"/>
      <c r="U5" s="1689"/>
    </row>
    <row r="6" spans="1:21" ht="16.5" thickBot="1">
      <c r="A6" s="330">
        <v>1</v>
      </c>
      <c r="B6" s="331">
        <v>2</v>
      </c>
      <c r="C6" s="331">
        <v>3</v>
      </c>
      <c r="D6" s="332">
        <v>4</v>
      </c>
      <c r="E6" s="332">
        <v>5</v>
      </c>
      <c r="F6" s="332"/>
      <c r="G6" s="331">
        <v>6</v>
      </c>
      <c r="H6" s="347"/>
      <c r="I6" s="331">
        <v>7</v>
      </c>
      <c r="J6" s="331"/>
      <c r="K6" s="331">
        <v>8</v>
      </c>
      <c r="L6" s="331"/>
      <c r="M6" s="332">
        <v>9</v>
      </c>
      <c r="N6" s="344"/>
      <c r="O6" s="332">
        <v>10</v>
      </c>
      <c r="P6" s="331">
        <v>11</v>
      </c>
      <c r="Q6" s="331"/>
      <c r="R6" s="331"/>
      <c r="S6" s="332">
        <v>12</v>
      </c>
      <c r="T6" s="348"/>
      <c r="U6" s="333">
        <v>13</v>
      </c>
    </row>
    <row r="7" spans="1:21">
      <c r="A7" s="1690">
        <v>1</v>
      </c>
      <c r="B7" s="1691" t="s">
        <v>525</v>
      </c>
      <c r="C7" s="349">
        <v>1</v>
      </c>
      <c r="D7" s="350">
        <f>'[3]ĐM-50'!D6</f>
        <v>252426.59015383915</v>
      </c>
      <c r="E7" s="350">
        <f>[3]TONGHOP_DGSP!D6</f>
        <v>393670.7879916266</v>
      </c>
      <c r="F7" s="350">
        <f>DGSP_RutGon!M7</f>
        <v>964525.86231699027</v>
      </c>
      <c r="G7" s="350">
        <f>E7-D7</f>
        <v>141244.19783778745</v>
      </c>
      <c r="H7" s="351">
        <f>F7-E7</f>
        <v>570855.07432536362</v>
      </c>
      <c r="I7" s="352">
        <f>G7/D7*100</f>
        <v>55.954563959251445</v>
      </c>
      <c r="J7" s="350">
        <f t="shared" ref="J7:K9" si="0">D7*1.6</f>
        <v>403882.54424614267</v>
      </c>
      <c r="K7" s="350">
        <f t="shared" si="0"/>
        <v>629873.26078660262</v>
      </c>
      <c r="L7" s="350" t="e">
        <f>DGSP_ChiTiet!#REF!</f>
        <v>#REF!</v>
      </c>
      <c r="M7" s="350">
        <f>K7-J7</f>
        <v>225990.71654045995</v>
      </c>
      <c r="N7" s="351" t="e">
        <f>L7-K7</f>
        <v>#REF!</v>
      </c>
      <c r="O7" s="352">
        <f>M7/J7*100</f>
        <v>55.954563959251459</v>
      </c>
      <c r="P7" s="353">
        <f>D7</f>
        <v>252426.59015383915</v>
      </c>
      <c r="Q7" s="353">
        <f>E7</f>
        <v>393670.7879916266</v>
      </c>
      <c r="R7" s="353">
        <f>F7</f>
        <v>964525.86231699027</v>
      </c>
      <c r="S7" s="350">
        <f>Q7-P7</f>
        <v>141244.19783778745</v>
      </c>
      <c r="T7" s="351">
        <f>R7-Q7</f>
        <v>570855.07432536362</v>
      </c>
      <c r="U7" s="354">
        <f>S7/P7*100</f>
        <v>55.954563959251445</v>
      </c>
    </row>
    <row r="8" spans="1:21">
      <c r="A8" s="1673"/>
      <c r="B8" s="1685"/>
      <c r="C8" s="355">
        <v>2</v>
      </c>
      <c r="D8" s="356">
        <f>'[3]ĐM-50'!E6</f>
        <v>263511.41833679192</v>
      </c>
      <c r="E8" s="356">
        <f>[3]TONGHOP_DGSP!E6</f>
        <v>409048.06105296483</v>
      </c>
      <c r="F8" s="356">
        <f>DGSP_RutGon!M8</f>
        <v>1035128.2585754296</v>
      </c>
      <c r="G8" s="356">
        <f>E8-D8</f>
        <v>145536.64271617291</v>
      </c>
      <c r="H8" s="357">
        <f t="shared" ref="H8:H46" si="1">F8-E8</f>
        <v>626080.19752246467</v>
      </c>
      <c r="I8" s="358">
        <f t="shared" ref="I8:I46" si="2">G8/D8*100</f>
        <v>55.22972918394133</v>
      </c>
      <c r="J8" s="356">
        <f t="shared" si="0"/>
        <v>421618.2693388671</v>
      </c>
      <c r="K8" s="356">
        <f t="shared" si="0"/>
        <v>654476.89768474374</v>
      </c>
      <c r="L8" s="356" t="e">
        <f>DGSP_ChiTiet!#REF!</f>
        <v>#REF!</v>
      </c>
      <c r="M8" s="356">
        <f>K8-J8</f>
        <v>232858.62834587664</v>
      </c>
      <c r="N8" s="357" t="e">
        <f t="shared" ref="N8:N46" si="3">L8-K8</f>
        <v>#REF!</v>
      </c>
      <c r="O8" s="358">
        <f>M8/J8*100</f>
        <v>55.22972918394133</v>
      </c>
      <c r="P8" s="359">
        <f>D8</f>
        <v>263511.41833679192</v>
      </c>
      <c r="Q8" s="359">
        <f>E8</f>
        <v>409048.06105296483</v>
      </c>
      <c r="R8" s="359">
        <f t="shared" ref="R8:R14" si="4">F8</f>
        <v>1035128.2585754296</v>
      </c>
      <c r="S8" s="356">
        <f>Q8-P8</f>
        <v>145536.64271617291</v>
      </c>
      <c r="T8" s="357">
        <f t="shared" ref="T8:T46" si="5">R8-Q8</f>
        <v>626080.19752246467</v>
      </c>
      <c r="U8" s="360">
        <f>S8/P8*100</f>
        <v>55.22972918394133</v>
      </c>
    </row>
    <row r="9" spans="1:21">
      <c r="A9" s="1673"/>
      <c r="B9" s="1686"/>
      <c r="C9" s="374">
        <v>3</v>
      </c>
      <c r="D9" s="375">
        <f>'[3]ĐM-50'!F6</f>
        <v>276133.89832769765</v>
      </c>
      <c r="E9" s="375">
        <f>[3]TONGHOP_DGSP!F6</f>
        <v>427023.04640641029</v>
      </c>
      <c r="F9" s="375">
        <f>DGSP_RutGon!M9</f>
        <v>1119625.8998684841</v>
      </c>
      <c r="G9" s="375">
        <f>E9-D9</f>
        <v>150889.14807871263</v>
      </c>
      <c r="H9" s="376">
        <f t="shared" si="1"/>
        <v>692602.85346207384</v>
      </c>
      <c r="I9" s="377">
        <f t="shared" si="2"/>
        <v>54.643471515998833</v>
      </c>
      <c r="J9" s="375">
        <f t="shared" si="0"/>
        <v>441814.23732431629</v>
      </c>
      <c r="K9" s="375">
        <f t="shared" si="0"/>
        <v>683236.87425025646</v>
      </c>
      <c r="L9" s="375" t="e">
        <f>DGSP_ChiTiet!#REF!</f>
        <v>#REF!</v>
      </c>
      <c r="M9" s="375">
        <f>K9-J9</f>
        <v>241422.63692594017</v>
      </c>
      <c r="N9" s="376" t="e">
        <f t="shared" si="3"/>
        <v>#REF!</v>
      </c>
      <c r="O9" s="377">
        <f>M9/J9*100</f>
        <v>54.643471515998812</v>
      </c>
      <c r="P9" s="378">
        <f>D9</f>
        <v>276133.89832769765</v>
      </c>
      <c r="Q9" s="378">
        <f>E9</f>
        <v>427023.04640641029</v>
      </c>
      <c r="R9" s="378">
        <f t="shared" si="4"/>
        <v>1119625.8998684841</v>
      </c>
      <c r="S9" s="375">
        <f>Q9-P9</f>
        <v>150889.14807871263</v>
      </c>
      <c r="T9" s="376">
        <f t="shared" si="5"/>
        <v>692602.85346207384</v>
      </c>
      <c r="U9" s="379">
        <f>S9/P9*100</f>
        <v>54.643471515998833</v>
      </c>
    </row>
    <row r="10" spans="1:21">
      <c r="A10" s="1673">
        <v>2</v>
      </c>
      <c r="B10" s="1684" t="s">
        <v>526</v>
      </c>
      <c r="C10" s="383">
        <v>1</v>
      </c>
      <c r="D10" s="384"/>
      <c r="E10" s="384"/>
      <c r="F10" s="384"/>
      <c r="G10" s="384"/>
      <c r="H10" s="385"/>
      <c r="I10" s="386"/>
      <c r="J10" s="384"/>
      <c r="K10" s="384"/>
      <c r="L10" s="384"/>
      <c r="M10" s="384"/>
      <c r="N10" s="387"/>
      <c r="O10" s="384"/>
      <c r="P10" s="388"/>
      <c r="Q10" s="388"/>
      <c r="R10" s="388"/>
      <c r="S10" s="384"/>
      <c r="T10" s="387"/>
      <c r="U10" s="389"/>
    </row>
    <row r="11" spans="1:21">
      <c r="A11" s="1673"/>
      <c r="B11" s="1685"/>
      <c r="C11" s="355">
        <v>2</v>
      </c>
      <c r="D11" s="356">
        <f>'[3]ĐM-50'!E15</f>
        <v>543261.55304151739</v>
      </c>
      <c r="E11" s="356">
        <f>[3]TONGHOP_DGSP!E15</f>
        <v>637424.6126006284</v>
      </c>
      <c r="F11" s="356" t="e">
        <f>DGSP_ChiTiet!#REF!</f>
        <v>#REF!</v>
      </c>
      <c r="G11" s="356">
        <f t="shared" ref="G11:G46" si="6">E11-D11</f>
        <v>94163.059559111018</v>
      </c>
      <c r="H11" s="357" t="e">
        <f t="shared" si="1"/>
        <v>#REF!</v>
      </c>
      <c r="I11" s="358">
        <f t="shared" si="2"/>
        <v>17.332914326796626</v>
      </c>
      <c r="J11" s="356">
        <f t="shared" ref="J11:K14" si="7">D11*1.6</f>
        <v>869218.48486642784</v>
      </c>
      <c r="K11" s="356">
        <f t="shared" si="7"/>
        <v>1019879.3801610055</v>
      </c>
      <c r="L11" s="356" t="e">
        <f>DGSP_ChiTiet!#REF!</f>
        <v>#REF!</v>
      </c>
      <c r="M11" s="356">
        <f t="shared" ref="M11:M46" si="8">K11-J11</f>
        <v>150660.8952945777</v>
      </c>
      <c r="N11" s="357" t="e">
        <f t="shared" si="3"/>
        <v>#REF!</v>
      </c>
      <c r="O11" s="358">
        <f t="shared" ref="O11:O46" si="9">M11/J11*100</f>
        <v>17.332914326796633</v>
      </c>
      <c r="P11" s="359">
        <f t="shared" ref="P11:Q14" si="10">D11</f>
        <v>543261.55304151739</v>
      </c>
      <c r="Q11" s="359">
        <f t="shared" si="10"/>
        <v>637424.6126006284</v>
      </c>
      <c r="R11" s="359" t="e">
        <f t="shared" si="4"/>
        <v>#REF!</v>
      </c>
      <c r="S11" s="356">
        <f t="shared" ref="S11:S46" si="11">Q11-P11</f>
        <v>94163.059559111018</v>
      </c>
      <c r="T11" s="357" t="e">
        <f t="shared" si="5"/>
        <v>#REF!</v>
      </c>
      <c r="U11" s="361">
        <f>S11/P11*100</f>
        <v>17.332914326796626</v>
      </c>
    </row>
    <row r="12" spans="1:21">
      <c r="A12" s="1673"/>
      <c r="B12" s="1685"/>
      <c r="C12" s="355">
        <v>3</v>
      </c>
      <c r="D12" s="356">
        <f>'[3]ĐM-50'!F15</f>
        <v>571946.19344154757</v>
      </c>
      <c r="E12" s="356">
        <f>[3]TONGHOP_DGSP!F15</f>
        <v>681655.44255102903</v>
      </c>
      <c r="F12" s="356" t="e">
        <f>DGSP_ChiTiet!#REF!</f>
        <v>#REF!</v>
      </c>
      <c r="G12" s="356">
        <f t="shared" si="6"/>
        <v>109709.24910948146</v>
      </c>
      <c r="H12" s="357" t="e">
        <f t="shared" si="1"/>
        <v>#REF!</v>
      </c>
      <c r="I12" s="358">
        <f t="shared" si="2"/>
        <v>19.181743032387828</v>
      </c>
      <c r="J12" s="356">
        <f t="shared" si="7"/>
        <v>915113.90950647613</v>
      </c>
      <c r="K12" s="356">
        <f t="shared" si="7"/>
        <v>1090648.7080816466</v>
      </c>
      <c r="L12" s="356" t="e">
        <f>DGSP_ChiTiet!#REF!</f>
        <v>#REF!</v>
      </c>
      <c r="M12" s="356">
        <f t="shared" si="8"/>
        <v>175534.79857517045</v>
      </c>
      <c r="N12" s="357" t="e">
        <f t="shared" si="3"/>
        <v>#REF!</v>
      </c>
      <c r="O12" s="358">
        <f t="shared" si="9"/>
        <v>19.181743032387839</v>
      </c>
      <c r="P12" s="359">
        <f t="shared" si="10"/>
        <v>571946.19344154757</v>
      </c>
      <c r="Q12" s="359">
        <f t="shared" si="10"/>
        <v>681655.44255102903</v>
      </c>
      <c r="R12" s="359" t="e">
        <f t="shared" si="4"/>
        <v>#REF!</v>
      </c>
      <c r="S12" s="356">
        <f t="shared" si="11"/>
        <v>109709.24910948146</v>
      </c>
      <c r="T12" s="357" t="e">
        <f t="shared" si="5"/>
        <v>#REF!</v>
      </c>
      <c r="U12" s="361">
        <f t="shared" ref="U12:U19" si="12">S12/P12*100</f>
        <v>19.181743032387828</v>
      </c>
    </row>
    <row r="13" spans="1:21">
      <c r="A13" s="1673"/>
      <c r="B13" s="1685"/>
      <c r="C13" s="355">
        <v>4</v>
      </c>
      <c r="D13" s="356">
        <f>'[3]ĐM-50'!G15</f>
        <v>598010.45755311614</v>
      </c>
      <c r="E13" s="356">
        <f>[3]TONGHOP_DGSP!G15</f>
        <v>734669.86634758359</v>
      </c>
      <c r="F13" s="356" t="e">
        <f>DGSP_ChiTiet!#REF!</f>
        <v>#REF!</v>
      </c>
      <c r="G13" s="356">
        <f t="shared" si="6"/>
        <v>136659.40879446745</v>
      </c>
      <c r="H13" s="357" t="e">
        <f t="shared" si="1"/>
        <v>#REF!</v>
      </c>
      <c r="I13" s="358">
        <f t="shared" si="2"/>
        <v>22.852344314117477</v>
      </c>
      <c r="J13" s="356">
        <f t="shared" si="7"/>
        <v>956816.73208498582</v>
      </c>
      <c r="K13" s="356">
        <f t="shared" si="7"/>
        <v>1175471.7861561337</v>
      </c>
      <c r="L13" s="356" t="e">
        <f>DGSP_ChiTiet!#REF!</f>
        <v>#REF!</v>
      </c>
      <c r="M13" s="356">
        <f t="shared" si="8"/>
        <v>218655.05407114793</v>
      </c>
      <c r="N13" s="357" t="e">
        <f t="shared" si="3"/>
        <v>#REF!</v>
      </c>
      <c r="O13" s="358">
        <f t="shared" si="9"/>
        <v>22.852344314117477</v>
      </c>
      <c r="P13" s="359">
        <f t="shared" si="10"/>
        <v>598010.45755311614</v>
      </c>
      <c r="Q13" s="359">
        <f t="shared" si="10"/>
        <v>734669.86634758359</v>
      </c>
      <c r="R13" s="359" t="e">
        <f t="shared" si="4"/>
        <v>#REF!</v>
      </c>
      <c r="S13" s="356">
        <f t="shared" si="11"/>
        <v>136659.40879446745</v>
      </c>
      <c r="T13" s="357" t="e">
        <f t="shared" si="5"/>
        <v>#REF!</v>
      </c>
      <c r="U13" s="361">
        <f t="shared" si="12"/>
        <v>22.852344314117477</v>
      </c>
    </row>
    <row r="14" spans="1:21">
      <c r="A14" s="1673"/>
      <c r="B14" s="1686"/>
      <c r="C14" s="374">
        <v>5</v>
      </c>
      <c r="D14" s="375">
        <f>'[3]ĐM-50'!H15</f>
        <v>636643.12667006918</v>
      </c>
      <c r="E14" s="400">
        <f>[3]TONGHOP_DGSP!H15</f>
        <v>726729.08860567654</v>
      </c>
      <c r="F14" s="375" t="e">
        <f>DGSP_ChiTiet!#REF!</f>
        <v>#REF!</v>
      </c>
      <c r="G14" s="375">
        <f t="shared" si="6"/>
        <v>90085.961935607367</v>
      </c>
      <c r="H14" s="376" t="e">
        <f>F14-E14</f>
        <v>#REF!</v>
      </c>
      <c r="I14" s="377">
        <f t="shared" si="2"/>
        <v>14.150150714231</v>
      </c>
      <c r="J14" s="375">
        <f t="shared" si="7"/>
        <v>1018629.0026721107</v>
      </c>
      <c r="K14" s="375">
        <f t="shared" si="7"/>
        <v>1162766.5417690824</v>
      </c>
      <c r="L14" s="375" t="e">
        <f>DGSP_ChiTiet!#REF!</f>
        <v>#REF!</v>
      </c>
      <c r="M14" s="375">
        <f t="shared" si="8"/>
        <v>144137.53909697174</v>
      </c>
      <c r="N14" s="376" t="e">
        <f t="shared" si="3"/>
        <v>#REF!</v>
      </c>
      <c r="O14" s="377">
        <f t="shared" si="9"/>
        <v>14.150150714230996</v>
      </c>
      <c r="P14" s="378">
        <f t="shared" si="10"/>
        <v>636643.12667006918</v>
      </c>
      <c r="Q14" s="378">
        <f t="shared" si="10"/>
        <v>726729.08860567654</v>
      </c>
      <c r="R14" s="378" t="e">
        <f t="shared" si="4"/>
        <v>#REF!</v>
      </c>
      <c r="S14" s="375">
        <f t="shared" si="11"/>
        <v>90085.961935607367</v>
      </c>
      <c r="T14" s="376" t="e">
        <f t="shared" si="5"/>
        <v>#REF!</v>
      </c>
      <c r="U14" s="390">
        <f t="shared" si="12"/>
        <v>14.150150714231</v>
      </c>
    </row>
    <row r="15" spans="1:21">
      <c r="A15" s="1673">
        <v>3</v>
      </c>
      <c r="B15" s="1675" t="s">
        <v>527</v>
      </c>
      <c r="C15" s="383">
        <v>1</v>
      </c>
      <c r="D15" s="391">
        <f>'[3]ĐM-50'!D26</f>
        <v>884080.28697628214</v>
      </c>
      <c r="E15" s="391">
        <f>[3]DGSP_DayDu!L105</f>
        <v>1519454.4024051281</v>
      </c>
      <c r="F15" s="391">
        <f>DGSP_ChiTiet!N25</f>
        <v>1834685.3518230079</v>
      </c>
      <c r="G15" s="391">
        <f t="shared" si="6"/>
        <v>635374.11542884598</v>
      </c>
      <c r="H15" s="385">
        <f t="shared" si="1"/>
        <v>315230.9494178798</v>
      </c>
      <c r="I15" s="392">
        <f t="shared" si="2"/>
        <v>71.868372679357307</v>
      </c>
      <c r="J15" s="391">
        <f>'[3]ĐM-50'!D28</f>
        <v>1141916.801836859</v>
      </c>
      <c r="K15" s="454">
        <f>[3]DGSP_DayDu!AD105</f>
        <v>2232729.7272666669</v>
      </c>
      <c r="L15" s="391">
        <f>DGSP_ChiTiet!AJ25</f>
        <v>2618496.1016199109</v>
      </c>
      <c r="M15" s="391">
        <f t="shared" si="8"/>
        <v>1090812.925429808</v>
      </c>
      <c r="N15" s="385">
        <f t="shared" si="3"/>
        <v>385766.37435324397</v>
      </c>
      <c r="O15" s="392">
        <f t="shared" si="9"/>
        <v>95.524728568241883</v>
      </c>
      <c r="P15" s="393">
        <f>'[3]ĐM-50'!D27</f>
        <v>887779.1348128207</v>
      </c>
      <c r="Q15" s="393">
        <f>[3]DGSP_DayDu!U105</f>
        <v>1585643.5149051282</v>
      </c>
      <c r="R15" s="393">
        <f>DGSP_ChiTiet!Y25</f>
        <v>1817621.0480730077</v>
      </c>
      <c r="S15" s="391">
        <f t="shared" si="11"/>
        <v>697864.38009230746</v>
      </c>
      <c r="T15" s="385">
        <f t="shared" si="5"/>
        <v>231977.53316787956</v>
      </c>
      <c r="U15" s="394">
        <f t="shared" si="12"/>
        <v>78.607882605784056</v>
      </c>
    </row>
    <row r="16" spans="1:21">
      <c r="A16" s="1673"/>
      <c r="B16" s="1687"/>
      <c r="C16" s="355">
        <v>2</v>
      </c>
      <c r="D16" s="356">
        <f>'[3]ĐM-50'!E26</f>
        <v>908761.7550532053</v>
      </c>
      <c r="E16" s="356">
        <f>[3]DGSP_DayDu!L106</f>
        <v>1566689.6793282051</v>
      </c>
      <c r="F16" s="356">
        <f>DGSP_ChiTiet!N26</f>
        <v>1908345.8077653155</v>
      </c>
      <c r="G16" s="356">
        <f t="shared" si="6"/>
        <v>657927.92427499976</v>
      </c>
      <c r="H16" s="357">
        <f t="shared" si="1"/>
        <v>341656.12843711046</v>
      </c>
      <c r="I16" s="362">
        <f t="shared" si="2"/>
        <v>72.398284876819005</v>
      </c>
      <c r="J16" s="356">
        <f>'[3]ĐM-50'!E28</f>
        <v>1174002.7103368591</v>
      </c>
      <c r="K16" s="455">
        <f>[3]DGSP_DayDu!AD106</f>
        <v>2294135.5872666668</v>
      </c>
      <c r="L16" s="356">
        <f>DGSP_ChiTiet!AJ26</f>
        <v>2714254.6943449103</v>
      </c>
      <c r="M16" s="356">
        <f t="shared" si="8"/>
        <v>1120132.8769298077</v>
      </c>
      <c r="N16" s="357">
        <f t="shared" si="3"/>
        <v>420119.10707824351</v>
      </c>
      <c r="O16" s="362">
        <f t="shared" si="9"/>
        <v>95.411438752846294</v>
      </c>
      <c r="P16" s="359">
        <f>'[3]ĐM-50'!E27</f>
        <v>912460.60288974387</v>
      </c>
      <c r="Q16" s="359">
        <f>[3]DGSP_DayDu!U106</f>
        <v>1632878.7918282051</v>
      </c>
      <c r="R16" s="359">
        <f>DGSP_ChiTiet!Y26</f>
        <v>1891281.5040153156</v>
      </c>
      <c r="S16" s="356">
        <f t="shared" si="11"/>
        <v>720418.18893846124</v>
      </c>
      <c r="T16" s="357">
        <f t="shared" si="5"/>
        <v>258402.71218711045</v>
      </c>
      <c r="U16" s="361">
        <f t="shared" si="12"/>
        <v>78.953347317890959</v>
      </c>
    </row>
    <row r="17" spans="1:21">
      <c r="A17" s="1673"/>
      <c r="B17" s="1687"/>
      <c r="C17" s="355">
        <v>3</v>
      </c>
      <c r="D17" s="356">
        <f>'[3]ĐM-50'!F26</f>
        <v>938379.51674551296</v>
      </c>
      <c r="E17" s="356">
        <f>[3]DGSP_DayDu!L107</f>
        <v>1618648.4839435897</v>
      </c>
      <c r="F17" s="356">
        <f>DGSP_ChiTiet!N27</f>
        <v>1989372.3093018541</v>
      </c>
      <c r="G17" s="356">
        <f t="shared" si="6"/>
        <v>680268.96719807677</v>
      </c>
      <c r="H17" s="357">
        <f t="shared" si="1"/>
        <v>370723.82535826438</v>
      </c>
      <c r="I17" s="362">
        <f t="shared" si="2"/>
        <v>72.494012823019091</v>
      </c>
      <c r="J17" s="356">
        <f>'[3]ĐM-50'!F28</f>
        <v>1209050.3950060899</v>
      </c>
      <c r="K17" s="455">
        <f>[3]DGSP_DayDu!AD107</f>
        <v>2361784.1957282051</v>
      </c>
      <c r="L17" s="356">
        <f>DGSP_ChiTiet!AJ27</f>
        <v>2819764.9440160645</v>
      </c>
      <c r="M17" s="356">
        <f t="shared" si="8"/>
        <v>1152733.8007221152</v>
      </c>
      <c r="N17" s="357">
        <f t="shared" si="3"/>
        <v>457980.74828785937</v>
      </c>
      <c r="O17" s="362">
        <f t="shared" si="9"/>
        <v>95.342080485926232</v>
      </c>
      <c r="P17" s="359">
        <f>'[3]ĐM-50'!F27</f>
        <v>942078.36458205141</v>
      </c>
      <c r="Q17" s="359">
        <f>[3]DGSP_DayDu!U107</f>
        <v>1684837.5964435898</v>
      </c>
      <c r="R17" s="359">
        <f>DGSP_ChiTiet!Y27</f>
        <v>1972308.0055518541</v>
      </c>
      <c r="S17" s="356">
        <f t="shared" si="11"/>
        <v>742759.23186153837</v>
      </c>
      <c r="T17" s="357">
        <f t="shared" si="5"/>
        <v>287470.40910826437</v>
      </c>
      <c r="U17" s="361">
        <f t="shared" si="12"/>
        <v>78.842616472893951</v>
      </c>
    </row>
    <row r="18" spans="1:21">
      <c r="A18" s="1674"/>
      <c r="B18" s="1676"/>
      <c r="C18" s="355">
        <v>4</v>
      </c>
      <c r="D18" s="356">
        <f>'[3]ĐM-50'!G26</f>
        <v>967997.27843782073</v>
      </c>
      <c r="E18" s="356">
        <f>[3]DGSP_DayDu!L108</f>
        <v>1675892.5116358972</v>
      </c>
      <c r="F18" s="356" t="e">
        <f>DGSP_ChiTiet!#REF!</f>
        <v>#REF!</v>
      </c>
      <c r="G18" s="356">
        <f>E18-D18</f>
        <v>707895.23319807649</v>
      </c>
      <c r="H18" s="357" t="e">
        <f t="shared" si="1"/>
        <v>#REF!</v>
      </c>
      <c r="I18" s="362">
        <f t="shared" si="2"/>
        <v>73.129878457974201</v>
      </c>
      <c r="J18" s="356">
        <f>'[3]ĐM-50'!G28</f>
        <v>1248047.1145676284</v>
      </c>
      <c r="K18" s="455">
        <f>[3]DGSP_DayDu!AD108</f>
        <v>2436007.2834205129</v>
      </c>
      <c r="L18" s="356" t="e">
        <f>DGSP_ChiTiet!#REF!</f>
        <v>#REF!</v>
      </c>
      <c r="M18" s="356">
        <f t="shared" si="8"/>
        <v>1187960.1688528846</v>
      </c>
      <c r="N18" s="357" t="e">
        <f t="shared" si="3"/>
        <v>#REF!</v>
      </c>
      <c r="O18" s="362">
        <f t="shared" si="9"/>
        <v>95.185522644667117</v>
      </c>
      <c r="P18" s="359">
        <f>'[3]ĐM-50'!G27</f>
        <v>971696.12627435918</v>
      </c>
      <c r="Q18" s="359">
        <f>[3]DGSP_DayDu!U108</f>
        <v>1742081.6241358973</v>
      </c>
      <c r="R18" s="359" t="e">
        <f>DGSP_ChiTiet!#REF!</f>
        <v>#REF!</v>
      </c>
      <c r="S18" s="356">
        <f t="shared" si="11"/>
        <v>770385.49786153808</v>
      </c>
      <c r="T18" s="357" t="e">
        <f t="shared" si="5"/>
        <v>#REF!</v>
      </c>
      <c r="U18" s="361">
        <f t="shared" si="12"/>
        <v>79.282553159424566</v>
      </c>
    </row>
    <row r="19" spans="1:21">
      <c r="A19" s="1674"/>
      <c r="B19" s="1677"/>
      <c r="C19" s="374">
        <v>5</v>
      </c>
      <c r="D19" s="375">
        <f>'[3]ĐM-50'!H26</f>
        <v>1002551.3337455129</v>
      </c>
      <c r="E19" s="375">
        <f>[3]DGSP_DayDu!L109</f>
        <v>1736442.6124051281</v>
      </c>
      <c r="F19" s="375" t="e">
        <f>DGSP_ChiTiet!#REF!</f>
        <v>#REF!</v>
      </c>
      <c r="G19" s="375">
        <f t="shared" si="6"/>
        <v>733891.2786596152</v>
      </c>
      <c r="H19" s="376" t="e">
        <f t="shared" si="1"/>
        <v>#REF!</v>
      </c>
      <c r="I19" s="395">
        <f t="shared" si="2"/>
        <v>73.202364203916744</v>
      </c>
      <c r="J19" s="375">
        <f>'[3]ĐM-50'!H28</f>
        <v>1290499.2396599359</v>
      </c>
      <c r="K19" s="400">
        <f>[3]DGSP_DayDu!AD109</f>
        <v>2515055.6649589743</v>
      </c>
      <c r="L19" s="375" t="e">
        <f>DGSP_ChiTiet!#REF!</f>
        <v>#REF!</v>
      </c>
      <c r="M19" s="375">
        <f t="shared" si="8"/>
        <v>1224556.4252990384</v>
      </c>
      <c r="N19" s="376" t="e">
        <f t="shared" si="3"/>
        <v>#REF!</v>
      </c>
      <c r="O19" s="395">
        <f t="shared" si="9"/>
        <v>94.890131482892286</v>
      </c>
      <c r="P19" s="396">
        <f>'[3]ĐM-50'!H27</f>
        <v>1006250.1815820514</v>
      </c>
      <c r="Q19" s="378">
        <f>[3]DGSP_DayDu!U109</f>
        <v>1802631.7249051281</v>
      </c>
      <c r="R19" s="378" t="e">
        <f>DGSP_ChiTiet!#REF!</f>
        <v>#REF!</v>
      </c>
      <c r="S19" s="375">
        <f t="shared" si="11"/>
        <v>796381.54332307668</v>
      </c>
      <c r="T19" s="376" t="e">
        <f t="shared" si="5"/>
        <v>#REF!</v>
      </c>
      <c r="U19" s="390">
        <f t="shared" si="12"/>
        <v>79.143493129212246</v>
      </c>
    </row>
    <row r="20" spans="1:21">
      <c r="A20" s="1673">
        <v>4</v>
      </c>
      <c r="B20" s="1684" t="s">
        <v>528</v>
      </c>
      <c r="C20" s="383">
        <v>1</v>
      </c>
      <c r="D20" s="391">
        <f>'[3]ĐM-50'!D53</f>
        <v>1402086.7825967951</v>
      </c>
      <c r="E20" s="391">
        <f>[3]DGSP_DayDu!L172</f>
        <v>1617277.4396791665</v>
      </c>
      <c r="F20" s="391">
        <f>DGSP_ChiTiet!N38</f>
        <v>2748239.5827058204</v>
      </c>
      <c r="G20" s="391">
        <f t="shared" si="6"/>
        <v>215190.65708237141</v>
      </c>
      <c r="H20" s="385">
        <f t="shared" si="1"/>
        <v>1130962.1430266539</v>
      </c>
      <c r="I20" s="386">
        <f t="shared" si="2"/>
        <v>15.347884293140421</v>
      </c>
      <c r="J20" s="391">
        <f>'[3]ĐM-50'!D55</f>
        <v>1825029.7499714107</v>
      </c>
      <c r="K20" s="391">
        <f>[3]TONGHOP_DGSP!D55</f>
        <v>2349547.0914429165</v>
      </c>
      <c r="L20" s="391">
        <f>DGSP_ChiTiet!AJ38</f>
        <v>3497907.2522816546</v>
      </c>
      <c r="M20" s="391">
        <f t="shared" si="8"/>
        <v>524517.34147150582</v>
      </c>
      <c r="N20" s="385">
        <f t="shared" si="3"/>
        <v>1148360.1608387381</v>
      </c>
      <c r="O20" s="386">
        <f t="shared" si="9"/>
        <v>28.740207740707923</v>
      </c>
      <c r="P20" s="393">
        <f>'[3]ĐM-50'!D54</f>
        <v>1395057.7006256413</v>
      </c>
      <c r="Q20" s="393">
        <f>[3]TONGHOP_DGSP!D54</f>
        <v>1767521.4896791666</v>
      </c>
      <c r="R20" s="393">
        <f>DGSP_ChiTiet!Y38</f>
        <v>2643169.4877058202</v>
      </c>
      <c r="S20" s="391">
        <f t="shared" si="11"/>
        <v>372463.78905352531</v>
      </c>
      <c r="T20" s="385">
        <f t="shared" si="5"/>
        <v>875647.99802665366</v>
      </c>
      <c r="U20" s="394">
        <f>S20/P20*100</f>
        <v>26.69880886550331</v>
      </c>
    </row>
    <row r="21" spans="1:21">
      <c r="A21" s="1673"/>
      <c r="B21" s="1685"/>
      <c r="C21" s="355">
        <v>2</v>
      </c>
      <c r="D21" s="356">
        <f>'[3]ĐM-50'!E53</f>
        <v>1439507.4287506412</v>
      </c>
      <c r="E21" s="356">
        <f>[3]DGSP_DayDu!L173</f>
        <v>1661750.8146791665</v>
      </c>
      <c r="F21" s="356">
        <f>DGSP_ChiTiet!N39</f>
        <v>2813812.5252058203</v>
      </c>
      <c r="G21" s="356">
        <f t="shared" si="6"/>
        <v>222243.38592852536</v>
      </c>
      <c r="H21" s="357">
        <f t="shared" si="1"/>
        <v>1152061.7105266538</v>
      </c>
      <c r="I21" s="358">
        <f t="shared" si="2"/>
        <v>15.43884953212169</v>
      </c>
      <c r="J21" s="356">
        <f>'[3]ĐM-50'!E55</f>
        <v>1873676.5899714106</v>
      </c>
      <c r="K21" s="356">
        <f>[3]TONGHOP_DGSP!E55</f>
        <v>2407362.4789429167</v>
      </c>
      <c r="L21" s="356">
        <f>DGSP_ChiTiet!AJ39</f>
        <v>3583152.0775316539</v>
      </c>
      <c r="M21" s="356">
        <f t="shared" si="8"/>
        <v>533685.88897150615</v>
      </c>
      <c r="N21" s="357">
        <f t="shared" si="3"/>
        <v>1175789.5985887372</v>
      </c>
      <c r="O21" s="358">
        <f t="shared" si="9"/>
        <v>28.48335149342125</v>
      </c>
      <c r="P21" s="359">
        <f>'[3]ĐM-50'!E54</f>
        <v>1432478.3467794873</v>
      </c>
      <c r="Q21" s="359">
        <f>[3]TONGHOP_DGSP!E54</f>
        <v>1811994.8646791666</v>
      </c>
      <c r="R21" s="359">
        <f>DGSP_ChiTiet!Y39</f>
        <v>2708742.4302058206</v>
      </c>
      <c r="S21" s="356">
        <f t="shared" si="11"/>
        <v>379516.51789967925</v>
      </c>
      <c r="T21" s="357">
        <f t="shared" si="5"/>
        <v>896747.56552665401</v>
      </c>
      <c r="U21" s="361">
        <f t="shared" ref="U21:U46" si="13">S21/P21*100</f>
        <v>26.493700149318993</v>
      </c>
    </row>
    <row r="22" spans="1:21">
      <c r="A22" s="1673"/>
      <c r="B22" s="1685"/>
      <c r="C22" s="355">
        <v>3</v>
      </c>
      <c r="D22" s="356">
        <f>'[3]ĐM-50'!F53</f>
        <v>1480670.1395198721</v>
      </c>
      <c r="E22" s="356">
        <f>[3]DGSP_DayDu!L174</f>
        <v>1710671.5271791667</v>
      </c>
      <c r="F22" s="356">
        <f>DGSP_ChiTiet!N40</f>
        <v>2885942.7619558205</v>
      </c>
      <c r="G22" s="356">
        <f t="shared" si="6"/>
        <v>230001.38765929453</v>
      </c>
      <c r="H22" s="357">
        <f t="shared" si="1"/>
        <v>1175271.2347766538</v>
      </c>
      <c r="I22" s="358">
        <f t="shared" si="2"/>
        <v>15.533600733913339</v>
      </c>
      <c r="J22" s="356">
        <f>'[3]ĐM-50'!F55</f>
        <v>1926065.4945867953</v>
      </c>
      <c r="K22" s="356">
        <f>[3]TONGHOP_DGSP!F55</f>
        <v>2470959.4051929163</v>
      </c>
      <c r="L22" s="356">
        <f>DGSP_ChiTiet!AJ40</f>
        <v>3676921.385306654</v>
      </c>
      <c r="M22" s="356">
        <f t="shared" si="8"/>
        <v>544893.91060612095</v>
      </c>
      <c r="N22" s="357">
        <f t="shared" si="3"/>
        <v>1205961.9801137378</v>
      </c>
      <c r="O22" s="358">
        <f t="shared" si="9"/>
        <v>28.290518268332239</v>
      </c>
      <c r="P22" s="359">
        <f>'[3]ĐM-50'!F54</f>
        <v>1473641.0575487183</v>
      </c>
      <c r="Q22" s="359">
        <f>[3]TONGHOP_DGSP!F54</f>
        <v>1860915.5771791665</v>
      </c>
      <c r="R22" s="359">
        <f>DGSP_ChiTiet!Y40</f>
        <v>2780872.6669558203</v>
      </c>
      <c r="S22" s="356">
        <f t="shared" si="11"/>
        <v>387274.51963044819</v>
      </c>
      <c r="T22" s="357">
        <f t="shared" si="5"/>
        <v>919957.0897766538</v>
      </c>
      <c r="U22" s="361">
        <f t="shared" si="13"/>
        <v>26.280111947657574</v>
      </c>
    </row>
    <row r="23" spans="1:21">
      <c r="A23" s="1673"/>
      <c r="B23" s="1685"/>
      <c r="C23" s="355">
        <v>4</v>
      </c>
      <c r="D23" s="356">
        <f>'[3]ĐM-50'!G53</f>
        <v>1525574.9149044873</v>
      </c>
      <c r="E23" s="356">
        <f>[3]DGSP_DayDu!L175</f>
        <v>1764484.3109291666</v>
      </c>
      <c r="F23" s="356" t="e">
        <f>DGSP_ChiTiet!#REF!</f>
        <v>#REF!</v>
      </c>
      <c r="G23" s="356">
        <f t="shared" si="6"/>
        <v>238909.3960246793</v>
      </c>
      <c r="H23" s="357" t="e">
        <f t="shared" si="1"/>
        <v>#REF!</v>
      </c>
      <c r="I23" s="358">
        <f t="shared" si="2"/>
        <v>15.660286079077071</v>
      </c>
      <c r="J23" s="356">
        <f>'[3]ĐM-50'!G55</f>
        <v>1985938.5284329492</v>
      </c>
      <c r="K23" s="356">
        <f>[3]TONGHOP_DGSP!G55</f>
        <v>2540782.6039429172</v>
      </c>
      <c r="L23" s="356" t="e">
        <f>DGSP_ChiTiet!#REF!</f>
        <v>#REF!</v>
      </c>
      <c r="M23" s="356">
        <f t="shared" si="8"/>
        <v>554844.07550996798</v>
      </c>
      <c r="N23" s="357" t="e">
        <f t="shared" si="3"/>
        <v>#REF!</v>
      </c>
      <c r="O23" s="358">
        <f t="shared" si="9"/>
        <v>27.938632921723944</v>
      </c>
      <c r="P23" s="359">
        <f>'[3]ĐM-50'!G54</f>
        <v>1518545.8329333335</v>
      </c>
      <c r="Q23" s="359">
        <f>[3]TONGHOP_DGSP!G54</f>
        <v>1914283.6271791665</v>
      </c>
      <c r="R23" s="359" t="e">
        <f>DGSP_ChiTiet!#REF!</f>
        <v>#REF!</v>
      </c>
      <c r="S23" s="356">
        <f t="shared" si="11"/>
        <v>395737.79424583307</v>
      </c>
      <c r="T23" s="357" t="e">
        <f t="shared" si="5"/>
        <v>#REF!</v>
      </c>
      <c r="U23" s="361">
        <f t="shared" si="13"/>
        <v>26.060312811329322</v>
      </c>
    </row>
    <row r="24" spans="1:21">
      <c r="A24" s="1673"/>
      <c r="B24" s="1686"/>
      <c r="C24" s="374">
        <v>5</v>
      </c>
      <c r="D24" s="375">
        <f>'[3]ĐM-50'!H53</f>
        <v>1574221.7549044876</v>
      </c>
      <c r="E24" s="375">
        <f>[3]DGSP_DayDu!L176</f>
        <v>1821854.9646791667</v>
      </c>
      <c r="F24" s="375" t="e">
        <f>DGSP_ChiTiet!#REF!</f>
        <v>#REF!</v>
      </c>
      <c r="G24" s="375">
        <f t="shared" si="6"/>
        <v>247633.20977467904</v>
      </c>
      <c r="H24" s="376" t="e">
        <f t="shared" si="1"/>
        <v>#REF!</v>
      </c>
      <c r="I24" s="377">
        <f t="shared" si="2"/>
        <v>15.73051630135194</v>
      </c>
      <c r="J24" s="375">
        <f>'[3]ĐM-50'!H55</f>
        <v>2049553.6268944875</v>
      </c>
      <c r="K24" s="375">
        <f>[3]TONGHOP_DGSP!H55</f>
        <v>2616387.341442917</v>
      </c>
      <c r="L24" s="375" t="e">
        <f>DGSP_ChiTiet!#REF!</f>
        <v>#REF!</v>
      </c>
      <c r="M24" s="375">
        <f t="shared" si="8"/>
        <v>566833.71454842947</v>
      </c>
      <c r="N24" s="376" t="e">
        <f t="shared" si="3"/>
        <v>#REF!</v>
      </c>
      <c r="O24" s="377">
        <f t="shared" si="9"/>
        <v>27.656447097083468</v>
      </c>
      <c r="P24" s="378">
        <f>'[3]ĐM-50'!H54</f>
        <v>1567192.6729333336</v>
      </c>
      <c r="Q24" s="378">
        <f>[3]TONGHOP_DGSP!H54</f>
        <v>1972099.0146791665</v>
      </c>
      <c r="R24" s="378" t="e">
        <f>DGSP_ChiTiet!#REF!</f>
        <v>#REF!</v>
      </c>
      <c r="S24" s="375">
        <f t="shared" si="11"/>
        <v>404906.34174583293</v>
      </c>
      <c r="T24" s="376" t="e">
        <f t="shared" si="5"/>
        <v>#REF!</v>
      </c>
      <c r="U24" s="390">
        <f t="shared" si="13"/>
        <v>25.836411102405478</v>
      </c>
    </row>
    <row r="25" spans="1:21">
      <c r="A25" s="1673">
        <v>5</v>
      </c>
      <c r="B25" s="1684" t="s">
        <v>529</v>
      </c>
      <c r="C25" s="383">
        <v>1</v>
      </c>
      <c r="D25" s="391">
        <f>'[3]ĐM-50'!D67</f>
        <v>177542.02685471383</v>
      </c>
      <c r="E25" s="391">
        <f>[3]TONGHOP_DGSP!D67</f>
        <v>347316.86525848717</v>
      </c>
      <c r="F25" s="391">
        <f>DGSP_ChiTiet!N48</f>
        <v>789619.99658570462</v>
      </c>
      <c r="G25" s="391">
        <f t="shared" si="6"/>
        <v>169774.83840377335</v>
      </c>
      <c r="H25" s="385">
        <f t="shared" si="1"/>
        <v>442303.13132721744</v>
      </c>
      <c r="I25" s="386">
        <f t="shared" si="2"/>
        <v>95.6251550190443</v>
      </c>
      <c r="J25" s="391">
        <f t="shared" ref="J25:K31" si="14">D25*1.3</f>
        <v>230804.63491112797</v>
      </c>
      <c r="K25" s="391">
        <f t="shared" si="14"/>
        <v>451511.92483603331</v>
      </c>
      <c r="L25" s="391" t="e">
        <f>DGSP_ChiTiet!#REF!</f>
        <v>#REF!</v>
      </c>
      <c r="M25" s="391">
        <f t="shared" si="8"/>
        <v>220707.28992490534</v>
      </c>
      <c r="N25" s="385" t="e">
        <f t="shared" si="3"/>
        <v>#REF!</v>
      </c>
      <c r="O25" s="386">
        <f t="shared" si="9"/>
        <v>95.6251550190443</v>
      </c>
      <c r="P25" s="393">
        <f t="shared" ref="P25:R31" si="15">D25</f>
        <v>177542.02685471383</v>
      </c>
      <c r="Q25" s="393">
        <f t="shared" si="15"/>
        <v>347316.86525848717</v>
      </c>
      <c r="R25" s="393">
        <f t="shared" si="15"/>
        <v>789619.99658570462</v>
      </c>
      <c r="S25" s="391">
        <f t="shared" si="11"/>
        <v>169774.83840377335</v>
      </c>
      <c r="T25" s="385">
        <f t="shared" si="5"/>
        <v>442303.13132721744</v>
      </c>
      <c r="U25" s="394">
        <f t="shared" si="13"/>
        <v>95.6251550190443</v>
      </c>
    </row>
    <row r="26" spans="1:21">
      <c r="A26" s="1673"/>
      <c r="B26" s="1685"/>
      <c r="C26" s="355">
        <v>2</v>
      </c>
      <c r="D26" s="356">
        <f>'[3]ĐM-50'!E67</f>
        <v>188690.37105299995</v>
      </c>
      <c r="E26" s="356">
        <f>[3]TONGHOP_DGSP!E67</f>
        <v>363340.60977487342</v>
      </c>
      <c r="F26" s="356">
        <f>DGSP_ChiTiet!N49</f>
        <v>790327.24107424996</v>
      </c>
      <c r="G26" s="356">
        <f t="shared" si="6"/>
        <v>174650.23872187347</v>
      </c>
      <c r="H26" s="357">
        <f t="shared" si="1"/>
        <v>426986.63129937655</v>
      </c>
      <c r="I26" s="358">
        <f t="shared" si="2"/>
        <v>92.559168624888201</v>
      </c>
      <c r="J26" s="356">
        <f t="shared" si="14"/>
        <v>245297.48236889995</v>
      </c>
      <c r="K26" s="356">
        <f t="shared" si="14"/>
        <v>472342.79270733544</v>
      </c>
      <c r="L26" s="356" t="e">
        <f>DGSP_ChiTiet!#REF!</f>
        <v>#REF!</v>
      </c>
      <c r="M26" s="356">
        <f t="shared" si="8"/>
        <v>227045.31033843549</v>
      </c>
      <c r="N26" s="357" t="e">
        <f t="shared" si="3"/>
        <v>#REF!</v>
      </c>
      <c r="O26" s="358">
        <f t="shared" si="9"/>
        <v>92.559168624888201</v>
      </c>
      <c r="P26" s="359">
        <f t="shared" si="15"/>
        <v>188690.37105299995</v>
      </c>
      <c r="Q26" s="359">
        <f t="shared" si="15"/>
        <v>363340.60977487342</v>
      </c>
      <c r="R26" s="359">
        <f t="shared" si="15"/>
        <v>790327.24107424996</v>
      </c>
      <c r="S26" s="356">
        <f t="shared" si="11"/>
        <v>174650.23872187347</v>
      </c>
      <c r="T26" s="357">
        <f t="shared" si="5"/>
        <v>426986.63129937655</v>
      </c>
      <c r="U26" s="361">
        <f t="shared" si="13"/>
        <v>92.559168624888201</v>
      </c>
    </row>
    <row r="27" spans="1:21">
      <c r="A27" s="1673"/>
      <c r="B27" s="1686"/>
      <c r="C27" s="374">
        <v>3</v>
      </c>
      <c r="D27" s="375">
        <f>'[3]ĐM-50'!F67</f>
        <v>202101.7309418798</v>
      </c>
      <c r="E27" s="375">
        <f>[3]TONGHOP_DGSP!F67</f>
        <v>382663.79111533822</v>
      </c>
      <c r="F27" s="375">
        <f>DGSP_ChiTiet!N50</f>
        <v>791034.48556279542</v>
      </c>
      <c r="G27" s="375">
        <f t="shared" si="6"/>
        <v>180562.06017345842</v>
      </c>
      <c r="H27" s="376">
        <f t="shared" si="1"/>
        <v>408370.69444745721</v>
      </c>
      <c r="I27" s="377">
        <f t="shared" si="2"/>
        <v>89.342164132866458</v>
      </c>
      <c r="J27" s="375">
        <f t="shared" si="14"/>
        <v>262732.25022444373</v>
      </c>
      <c r="K27" s="375">
        <f t="shared" si="14"/>
        <v>497462.9284499397</v>
      </c>
      <c r="L27" s="375" t="e">
        <f>DGSP_ChiTiet!#REF!</f>
        <v>#REF!</v>
      </c>
      <c r="M27" s="375">
        <f t="shared" si="8"/>
        <v>234730.67822549597</v>
      </c>
      <c r="N27" s="376" t="e">
        <f t="shared" si="3"/>
        <v>#REF!</v>
      </c>
      <c r="O27" s="377">
        <f t="shared" si="9"/>
        <v>89.342164132866472</v>
      </c>
      <c r="P27" s="378">
        <f t="shared" si="15"/>
        <v>202101.7309418798</v>
      </c>
      <c r="Q27" s="378">
        <f t="shared" si="15"/>
        <v>382663.79111533822</v>
      </c>
      <c r="R27" s="378">
        <f t="shared" si="15"/>
        <v>791034.48556279542</v>
      </c>
      <c r="S27" s="375">
        <f t="shared" si="11"/>
        <v>180562.06017345842</v>
      </c>
      <c r="T27" s="376">
        <f t="shared" si="5"/>
        <v>408370.69444745721</v>
      </c>
      <c r="U27" s="390">
        <f t="shared" si="13"/>
        <v>89.342164132866458</v>
      </c>
    </row>
    <row r="28" spans="1:21">
      <c r="A28" s="1673">
        <v>6</v>
      </c>
      <c r="B28" s="1684" t="s">
        <v>530</v>
      </c>
      <c r="C28" s="383">
        <v>2</v>
      </c>
      <c r="D28" s="391">
        <f>'[3]ĐM-50'!E74</f>
        <v>237314.9163058167</v>
      </c>
      <c r="E28" s="391">
        <f>[3]TONGHOP_DGSP!E74</f>
        <v>372479.41271469719</v>
      </c>
      <c r="F28" s="391" t="e">
        <f>DGSP_ChiTiet!#REF!</f>
        <v>#REF!</v>
      </c>
      <c r="G28" s="391">
        <f t="shared" si="6"/>
        <v>135164.49640888048</v>
      </c>
      <c r="H28" s="385" t="e">
        <f t="shared" si="1"/>
        <v>#REF!</v>
      </c>
      <c r="I28" s="386">
        <f t="shared" si="2"/>
        <v>56.955752513550507</v>
      </c>
      <c r="J28" s="391">
        <f t="shared" si="14"/>
        <v>308509.39119756175</v>
      </c>
      <c r="K28" s="391">
        <f t="shared" si="14"/>
        <v>484223.23652910633</v>
      </c>
      <c r="L28" s="391" t="e">
        <f>DGSP_ChiTiet!#REF!</f>
        <v>#REF!</v>
      </c>
      <c r="M28" s="391">
        <f t="shared" si="8"/>
        <v>175713.84533154458</v>
      </c>
      <c r="N28" s="385" t="e">
        <f t="shared" si="3"/>
        <v>#REF!</v>
      </c>
      <c r="O28" s="386">
        <f t="shared" si="9"/>
        <v>56.955752513550486</v>
      </c>
      <c r="P28" s="393">
        <f t="shared" si="15"/>
        <v>237314.9163058167</v>
      </c>
      <c r="Q28" s="393">
        <f t="shared" si="15"/>
        <v>372479.41271469719</v>
      </c>
      <c r="R28" s="393" t="e">
        <f t="shared" si="15"/>
        <v>#REF!</v>
      </c>
      <c r="S28" s="391">
        <f t="shared" si="11"/>
        <v>135164.49640888048</v>
      </c>
      <c r="T28" s="385" t="e">
        <f t="shared" si="5"/>
        <v>#REF!</v>
      </c>
      <c r="U28" s="394">
        <f t="shared" si="13"/>
        <v>56.955752513550507</v>
      </c>
    </row>
    <row r="29" spans="1:21">
      <c r="A29" s="1673"/>
      <c r="B29" s="1685"/>
      <c r="C29" s="355">
        <v>3</v>
      </c>
      <c r="D29" s="356">
        <f>'[3]ĐM-50'!F74</f>
        <v>252123.79715197053</v>
      </c>
      <c r="E29" s="356">
        <f>[3]TONGHOP_DGSP!F74</f>
        <v>391565.87425315869</v>
      </c>
      <c r="F29" s="356" t="e">
        <f>DGSP_ChiTiet!#REF!</f>
        <v>#REF!</v>
      </c>
      <c r="G29" s="356">
        <f t="shared" si="6"/>
        <v>139442.07710118816</v>
      </c>
      <c r="H29" s="357" t="e">
        <f t="shared" si="1"/>
        <v>#REF!</v>
      </c>
      <c r="I29" s="358">
        <f t="shared" si="2"/>
        <v>55.306987549905031</v>
      </c>
      <c r="J29" s="356">
        <f t="shared" si="14"/>
        <v>327760.93629756168</v>
      </c>
      <c r="K29" s="356">
        <f t="shared" si="14"/>
        <v>509035.6365291063</v>
      </c>
      <c r="L29" s="356" t="e">
        <f>DGSP_ChiTiet!#REF!</f>
        <v>#REF!</v>
      </c>
      <c r="M29" s="356">
        <f t="shared" si="8"/>
        <v>181274.70023154462</v>
      </c>
      <c r="N29" s="357" t="e">
        <f t="shared" si="3"/>
        <v>#REF!</v>
      </c>
      <c r="O29" s="358">
        <f t="shared" si="9"/>
        <v>55.306987549905038</v>
      </c>
      <c r="P29" s="359">
        <f t="shared" si="15"/>
        <v>252123.79715197053</v>
      </c>
      <c r="Q29" s="359">
        <f t="shared" si="15"/>
        <v>391565.87425315869</v>
      </c>
      <c r="R29" s="359" t="e">
        <f t="shared" si="15"/>
        <v>#REF!</v>
      </c>
      <c r="S29" s="356">
        <f t="shared" si="11"/>
        <v>139442.07710118816</v>
      </c>
      <c r="T29" s="357" t="e">
        <f t="shared" si="5"/>
        <v>#REF!</v>
      </c>
      <c r="U29" s="361">
        <f t="shared" si="13"/>
        <v>55.306987549905031</v>
      </c>
    </row>
    <row r="30" spans="1:21">
      <c r="A30" s="1673"/>
      <c r="B30" s="1685"/>
      <c r="C30" s="355">
        <v>4</v>
      </c>
      <c r="D30" s="356">
        <f>'[3]ĐM-50'!G74</f>
        <v>269894.45416735514</v>
      </c>
      <c r="E30" s="356">
        <f>[3]TONGHOP_DGSP!G74</f>
        <v>414469.62809931266</v>
      </c>
      <c r="F30" s="356" t="e">
        <f>DGSP_ChiTiet!#REF!</f>
        <v>#REF!</v>
      </c>
      <c r="G30" s="356">
        <f t="shared" si="6"/>
        <v>144575.17393195751</v>
      </c>
      <c r="H30" s="357" t="e">
        <f t="shared" si="1"/>
        <v>#REF!</v>
      </c>
      <c r="I30" s="358">
        <f t="shared" si="2"/>
        <v>53.567300735386695</v>
      </c>
      <c r="J30" s="356">
        <f t="shared" si="14"/>
        <v>350862.79041756172</v>
      </c>
      <c r="K30" s="356">
        <f t="shared" si="14"/>
        <v>538810.51652910642</v>
      </c>
      <c r="L30" s="356" t="e">
        <f>DGSP_ChiTiet!#REF!</f>
        <v>#REF!</v>
      </c>
      <c r="M30" s="356">
        <f t="shared" si="8"/>
        <v>187947.7261115447</v>
      </c>
      <c r="N30" s="357" t="e">
        <f t="shared" si="3"/>
        <v>#REF!</v>
      </c>
      <c r="O30" s="358">
        <f t="shared" si="9"/>
        <v>53.567300735386659</v>
      </c>
      <c r="P30" s="359">
        <f t="shared" si="15"/>
        <v>269894.45416735514</v>
      </c>
      <c r="Q30" s="359">
        <f t="shared" si="15"/>
        <v>414469.62809931266</v>
      </c>
      <c r="R30" s="359" t="e">
        <f t="shared" si="15"/>
        <v>#REF!</v>
      </c>
      <c r="S30" s="356">
        <f t="shared" si="11"/>
        <v>144575.17393195751</v>
      </c>
      <c r="T30" s="357" t="e">
        <f t="shared" si="5"/>
        <v>#REF!</v>
      </c>
      <c r="U30" s="361">
        <f t="shared" si="13"/>
        <v>53.567300735386695</v>
      </c>
    </row>
    <row r="31" spans="1:21">
      <c r="A31" s="1673"/>
      <c r="B31" s="1686"/>
      <c r="C31" s="374">
        <v>5</v>
      </c>
      <c r="D31" s="375">
        <f>'[3]ĐM-50'!H74</f>
        <v>291219.24258581665</v>
      </c>
      <c r="E31" s="375">
        <f>[3]TONGHOP_DGSP!H74</f>
        <v>441826.88963777415</v>
      </c>
      <c r="F31" s="375" t="e">
        <f>DGSP_ChiTiet!#REF!</f>
        <v>#REF!</v>
      </c>
      <c r="G31" s="375">
        <f t="shared" si="6"/>
        <v>150607.64705195749</v>
      </c>
      <c r="H31" s="376" t="e">
        <f t="shared" si="1"/>
        <v>#REF!</v>
      </c>
      <c r="I31" s="377">
        <f t="shared" si="2"/>
        <v>51.716241589899866</v>
      </c>
      <c r="J31" s="375">
        <f t="shared" si="14"/>
        <v>378585.01536156167</v>
      </c>
      <c r="K31" s="375">
        <f t="shared" si="14"/>
        <v>574374.95652910636</v>
      </c>
      <c r="L31" s="375" t="e">
        <f>DGSP_ChiTiet!#REF!</f>
        <v>#REF!</v>
      </c>
      <c r="M31" s="375">
        <f t="shared" si="8"/>
        <v>195789.94116754469</v>
      </c>
      <c r="N31" s="376" t="e">
        <f t="shared" si="3"/>
        <v>#REF!</v>
      </c>
      <c r="O31" s="377">
        <f t="shared" si="9"/>
        <v>51.716241589899845</v>
      </c>
      <c r="P31" s="378">
        <f t="shared" si="15"/>
        <v>291219.24258581665</v>
      </c>
      <c r="Q31" s="378">
        <f t="shared" si="15"/>
        <v>441826.88963777415</v>
      </c>
      <c r="R31" s="378" t="e">
        <f t="shared" si="15"/>
        <v>#REF!</v>
      </c>
      <c r="S31" s="375">
        <f t="shared" si="11"/>
        <v>150607.64705195749</v>
      </c>
      <c r="T31" s="376" t="e">
        <f t="shared" si="5"/>
        <v>#REF!</v>
      </c>
      <c r="U31" s="390">
        <f t="shared" si="13"/>
        <v>51.716241589899866</v>
      </c>
    </row>
    <row r="32" spans="1:21">
      <c r="A32" s="1673">
        <v>7</v>
      </c>
      <c r="B32" s="1684" t="s">
        <v>531</v>
      </c>
      <c r="C32" s="383">
        <v>1</v>
      </c>
      <c r="D32" s="391">
        <f>'[3]ĐM-50'!D83</f>
        <v>409497.16547564103</v>
      </c>
      <c r="E32" s="391">
        <f>[3]DGSP_DayDu!L283</f>
        <v>526414.60211522446</v>
      </c>
      <c r="F32" s="391">
        <f>DGSP_ChiTiet!N65</f>
        <v>1169803.3381093624</v>
      </c>
      <c r="G32" s="391">
        <f t="shared" si="6"/>
        <v>116917.43663958344</v>
      </c>
      <c r="H32" s="385">
        <f t="shared" si="1"/>
        <v>643388.73599413794</v>
      </c>
      <c r="I32" s="386">
        <f t="shared" si="2"/>
        <v>28.551464209472844</v>
      </c>
      <c r="J32" s="391">
        <f>'[3]ĐM-50'!$D$85</f>
        <v>516306.91528391029</v>
      </c>
      <c r="K32" s="391">
        <f>[3]DGSP_DayDu!AD283</f>
        <v>669838.06188979186</v>
      </c>
      <c r="L32" s="391">
        <f>DGSP_ChiTiet!AJ65</f>
        <v>1517016.5196671709</v>
      </c>
      <c r="M32" s="391">
        <f t="shared" si="8"/>
        <v>153531.14660588157</v>
      </c>
      <c r="N32" s="385">
        <f t="shared" si="3"/>
        <v>847178.45777737908</v>
      </c>
      <c r="O32" s="392">
        <f t="shared" si="9"/>
        <v>29.736411049512444</v>
      </c>
      <c r="P32" s="393">
        <f>'[3]ĐM-50'!$D$84</f>
        <v>413196.01331217948</v>
      </c>
      <c r="Q32" s="393">
        <f>[3]DGSP_DayDu!U283</f>
        <v>481130.76461522444</v>
      </c>
      <c r="R32" s="393">
        <f>DGSP_ChiTiet!Y65</f>
        <v>1095985.8443593623</v>
      </c>
      <c r="S32" s="391">
        <f t="shared" si="11"/>
        <v>67934.751303044963</v>
      </c>
      <c r="T32" s="385">
        <f t="shared" si="5"/>
        <v>614855.07974413782</v>
      </c>
      <c r="U32" s="398">
        <f t="shared" si="13"/>
        <v>16.441289149544293</v>
      </c>
    </row>
    <row r="33" spans="1:21">
      <c r="A33" s="1673"/>
      <c r="B33" s="1685"/>
      <c r="C33" s="355">
        <v>2</v>
      </c>
      <c r="D33" s="356">
        <f>'[3]ĐM-50'!E83</f>
        <v>409497.16547564103</v>
      </c>
      <c r="E33" s="356">
        <f t="shared" ref="E33:F36" si="16">E32</f>
        <v>526414.60211522446</v>
      </c>
      <c r="F33" s="356">
        <f t="shared" si="16"/>
        <v>1169803.3381093624</v>
      </c>
      <c r="G33" s="356">
        <f t="shared" si="6"/>
        <v>116917.43663958344</v>
      </c>
      <c r="H33" s="357">
        <f t="shared" si="1"/>
        <v>643388.73599413794</v>
      </c>
      <c r="I33" s="358">
        <f t="shared" si="2"/>
        <v>28.551464209472844</v>
      </c>
      <c r="J33" s="356">
        <f>'[3]ĐM-50'!$D$85</f>
        <v>516306.91528391029</v>
      </c>
      <c r="K33" s="356">
        <f t="shared" ref="K33:L36" si="17">K32</f>
        <v>669838.06188979186</v>
      </c>
      <c r="L33" s="356">
        <f t="shared" si="17"/>
        <v>1517016.5196671709</v>
      </c>
      <c r="M33" s="356">
        <f t="shared" si="8"/>
        <v>153531.14660588157</v>
      </c>
      <c r="N33" s="357">
        <f t="shared" si="3"/>
        <v>847178.45777737908</v>
      </c>
      <c r="O33" s="362">
        <f t="shared" si="9"/>
        <v>29.736411049512444</v>
      </c>
      <c r="P33" s="359">
        <f>'[3]ĐM-50'!$D$84</f>
        <v>413196.01331217948</v>
      </c>
      <c r="Q33" s="359">
        <f t="shared" ref="Q33:R36" si="18">Q32</f>
        <v>481130.76461522444</v>
      </c>
      <c r="R33" s="359">
        <f t="shared" si="18"/>
        <v>1095985.8443593623</v>
      </c>
      <c r="S33" s="356">
        <f t="shared" si="11"/>
        <v>67934.751303044963</v>
      </c>
      <c r="T33" s="357">
        <f t="shared" si="5"/>
        <v>614855.07974413782</v>
      </c>
      <c r="U33" s="363">
        <f t="shared" si="13"/>
        <v>16.441289149544293</v>
      </c>
    </row>
    <row r="34" spans="1:21">
      <c r="A34" s="1673"/>
      <c r="B34" s="1685"/>
      <c r="C34" s="355">
        <v>3</v>
      </c>
      <c r="D34" s="356">
        <f>D33</f>
        <v>409497.16547564103</v>
      </c>
      <c r="E34" s="356">
        <f t="shared" si="16"/>
        <v>526414.60211522446</v>
      </c>
      <c r="F34" s="356">
        <f t="shared" si="16"/>
        <v>1169803.3381093624</v>
      </c>
      <c r="G34" s="356">
        <f t="shared" si="6"/>
        <v>116917.43663958344</v>
      </c>
      <c r="H34" s="357">
        <f t="shared" si="1"/>
        <v>643388.73599413794</v>
      </c>
      <c r="I34" s="358">
        <f t="shared" si="2"/>
        <v>28.551464209472844</v>
      </c>
      <c r="J34" s="356">
        <f>'[3]ĐM-50'!$D$85</f>
        <v>516306.91528391029</v>
      </c>
      <c r="K34" s="356">
        <f t="shared" si="17"/>
        <v>669838.06188979186</v>
      </c>
      <c r="L34" s="356">
        <f t="shared" si="17"/>
        <v>1517016.5196671709</v>
      </c>
      <c r="M34" s="356">
        <f t="shared" si="8"/>
        <v>153531.14660588157</v>
      </c>
      <c r="N34" s="357">
        <f t="shared" si="3"/>
        <v>847178.45777737908</v>
      </c>
      <c r="O34" s="362">
        <f t="shared" si="9"/>
        <v>29.736411049512444</v>
      </c>
      <c r="P34" s="359">
        <f>'[3]ĐM-50'!$D$84</f>
        <v>413196.01331217948</v>
      </c>
      <c r="Q34" s="359">
        <f t="shared" si="18"/>
        <v>481130.76461522444</v>
      </c>
      <c r="R34" s="359">
        <f t="shared" si="18"/>
        <v>1095985.8443593623</v>
      </c>
      <c r="S34" s="356">
        <f t="shared" si="11"/>
        <v>67934.751303044963</v>
      </c>
      <c r="T34" s="357">
        <f t="shared" si="5"/>
        <v>614855.07974413782</v>
      </c>
      <c r="U34" s="363">
        <f t="shared" si="13"/>
        <v>16.441289149544293</v>
      </c>
    </row>
    <row r="35" spans="1:21">
      <c r="A35" s="1673"/>
      <c r="B35" s="1685"/>
      <c r="C35" s="355">
        <v>4</v>
      </c>
      <c r="D35" s="356">
        <f>D34</f>
        <v>409497.16547564103</v>
      </c>
      <c r="E35" s="356">
        <f t="shared" si="16"/>
        <v>526414.60211522446</v>
      </c>
      <c r="F35" s="356">
        <f t="shared" si="16"/>
        <v>1169803.3381093624</v>
      </c>
      <c r="G35" s="356">
        <f t="shared" si="6"/>
        <v>116917.43663958344</v>
      </c>
      <c r="H35" s="357">
        <f t="shared" si="1"/>
        <v>643388.73599413794</v>
      </c>
      <c r="I35" s="358">
        <f t="shared" si="2"/>
        <v>28.551464209472844</v>
      </c>
      <c r="J35" s="356">
        <f>'[3]ĐM-50'!$D$85</f>
        <v>516306.91528391029</v>
      </c>
      <c r="K35" s="356">
        <f t="shared" si="17"/>
        <v>669838.06188979186</v>
      </c>
      <c r="L35" s="356">
        <f t="shared" si="17"/>
        <v>1517016.5196671709</v>
      </c>
      <c r="M35" s="356">
        <f t="shared" si="8"/>
        <v>153531.14660588157</v>
      </c>
      <c r="N35" s="357">
        <f t="shared" si="3"/>
        <v>847178.45777737908</v>
      </c>
      <c r="O35" s="362">
        <f t="shared" si="9"/>
        <v>29.736411049512444</v>
      </c>
      <c r="P35" s="359">
        <f>'[3]ĐM-50'!$D$84</f>
        <v>413196.01331217948</v>
      </c>
      <c r="Q35" s="359">
        <f t="shared" si="18"/>
        <v>481130.76461522444</v>
      </c>
      <c r="R35" s="359">
        <f t="shared" si="18"/>
        <v>1095985.8443593623</v>
      </c>
      <c r="S35" s="356">
        <f t="shared" si="11"/>
        <v>67934.751303044963</v>
      </c>
      <c r="T35" s="357">
        <f t="shared" si="5"/>
        <v>614855.07974413782</v>
      </c>
      <c r="U35" s="363">
        <f t="shared" si="13"/>
        <v>16.441289149544293</v>
      </c>
    </row>
    <row r="36" spans="1:21">
      <c r="A36" s="1673"/>
      <c r="B36" s="1686"/>
      <c r="C36" s="374">
        <v>5</v>
      </c>
      <c r="D36" s="375">
        <f>D35</f>
        <v>409497.16547564103</v>
      </c>
      <c r="E36" s="375">
        <f t="shared" si="16"/>
        <v>526414.60211522446</v>
      </c>
      <c r="F36" s="375">
        <f t="shared" si="16"/>
        <v>1169803.3381093624</v>
      </c>
      <c r="G36" s="375">
        <f t="shared" si="6"/>
        <v>116917.43663958344</v>
      </c>
      <c r="H36" s="376">
        <f t="shared" si="1"/>
        <v>643388.73599413794</v>
      </c>
      <c r="I36" s="377">
        <f t="shared" si="2"/>
        <v>28.551464209472844</v>
      </c>
      <c r="J36" s="375">
        <f>'[3]ĐM-50'!$D$85</f>
        <v>516306.91528391029</v>
      </c>
      <c r="K36" s="375">
        <f t="shared" si="17"/>
        <v>669838.06188979186</v>
      </c>
      <c r="L36" s="375">
        <f t="shared" si="17"/>
        <v>1517016.5196671709</v>
      </c>
      <c r="M36" s="375">
        <f t="shared" si="8"/>
        <v>153531.14660588157</v>
      </c>
      <c r="N36" s="376">
        <f t="shared" si="3"/>
        <v>847178.45777737908</v>
      </c>
      <c r="O36" s="395">
        <f t="shared" si="9"/>
        <v>29.736411049512444</v>
      </c>
      <c r="P36" s="378">
        <f>'[3]ĐM-50'!$D$84</f>
        <v>413196.01331217948</v>
      </c>
      <c r="Q36" s="378">
        <f t="shared" si="18"/>
        <v>481130.76461522444</v>
      </c>
      <c r="R36" s="378">
        <f t="shared" si="18"/>
        <v>1095985.8443593623</v>
      </c>
      <c r="S36" s="375">
        <f t="shared" si="11"/>
        <v>67934.751303044963</v>
      </c>
      <c r="T36" s="376">
        <f t="shared" si="5"/>
        <v>614855.07974413782</v>
      </c>
      <c r="U36" s="399">
        <f t="shared" si="13"/>
        <v>16.441289149544293</v>
      </c>
    </row>
    <row r="37" spans="1:21">
      <c r="A37" s="1673">
        <v>9</v>
      </c>
      <c r="B37" s="1675" t="s">
        <v>532</v>
      </c>
      <c r="C37" s="383">
        <v>1</v>
      </c>
      <c r="D37" s="391">
        <f>'[3]ĐM-50'!D102</f>
        <v>538479.64204483968</v>
      </c>
      <c r="E37" s="391">
        <f>[3]DGSP_DayDu!L311</f>
        <v>792182.29217753222</v>
      </c>
      <c r="F37" s="391">
        <f>DGSP_ChiTiet!N72</f>
        <v>2213233.3130227393</v>
      </c>
      <c r="G37" s="391">
        <f t="shared" si="6"/>
        <v>253702.65013269254</v>
      </c>
      <c r="H37" s="385">
        <f t="shared" si="1"/>
        <v>1421051.0208452069</v>
      </c>
      <c r="I37" s="386">
        <f t="shared" si="2"/>
        <v>47.114622415301355</v>
      </c>
      <c r="J37" s="391">
        <f>'[3]ĐM-50'!D104</f>
        <v>810878.70282271481</v>
      </c>
      <c r="K37" s="391">
        <f>[3]DGSP_DayDu!AD311</f>
        <v>1181793.7586407918</v>
      </c>
      <c r="L37" s="391">
        <f>DGSP_ChiTiet!AJ72</f>
        <v>3016136.4853545604</v>
      </c>
      <c r="M37" s="391">
        <f t="shared" si="8"/>
        <v>370915.05581807694</v>
      </c>
      <c r="N37" s="385">
        <f t="shared" si="3"/>
        <v>1834342.7267137687</v>
      </c>
      <c r="O37" s="392">
        <f t="shared" si="9"/>
        <v>45.742360050510705</v>
      </c>
      <c r="P37" s="393">
        <f>'[3]ĐM-50'!D103</f>
        <v>654440.42834291665</v>
      </c>
      <c r="Q37" s="393">
        <f>[3]DGSP_DayDu!U311</f>
        <v>916210.07967753219</v>
      </c>
      <c r="R37" s="393">
        <f>DGSP_ChiTiet!Y72</f>
        <v>2401515.8555227392</v>
      </c>
      <c r="S37" s="391">
        <f t="shared" si="11"/>
        <v>261769.65133461554</v>
      </c>
      <c r="T37" s="385">
        <f t="shared" si="5"/>
        <v>1485305.775845207</v>
      </c>
      <c r="U37" s="398">
        <f t="shared" si="13"/>
        <v>39.999003728640723</v>
      </c>
    </row>
    <row r="38" spans="1:21">
      <c r="A38" s="1674"/>
      <c r="B38" s="1676"/>
      <c r="C38" s="355">
        <v>2</v>
      </c>
      <c r="D38" s="356">
        <f t="shared" ref="D38:F41" si="19">D37</f>
        <v>538479.64204483968</v>
      </c>
      <c r="E38" s="356">
        <f t="shared" si="19"/>
        <v>792182.29217753222</v>
      </c>
      <c r="F38" s="356">
        <f>F37</f>
        <v>2213233.3130227393</v>
      </c>
      <c r="G38" s="356">
        <f t="shared" si="6"/>
        <v>253702.65013269254</v>
      </c>
      <c r="H38" s="357">
        <f t="shared" si="1"/>
        <v>1421051.0208452069</v>
      </c>
      <c r="I38" s="358">
        <f t="shared" si="2"/>
        <v>47.114622415301355</v>
      </c>
      <c r="J38" s="356">
        <f t="shared" ref="J38:L41" si="20">J37</f>
        <v>810878.70282271481</v>
      </c>
      <c r="K38" s="356">
        <f t="shared" si="20"/>
        <v>1181793.7586407918</v>
      </c>
      <c r="L38" s="356">
        <f>L37</f>
        <v>3016136.4853545604</v>
      </c>
      <c r="M38" s="356">
        <f t="shared" si="8"/>
        <v>370915.05581807694</v>
      </c>
      <c r="N38" s="357">
        <f t="shared" si="3"/>
        <v>1834342.7267137687</v>
      </c>
      <c r="O38" s="362">
        <f t="shared" si="9"/>
        <v>45.742360050510705</v>
      </c>
      <c r="P38" s="359">
        <f t="shared" ref="P38:R41" si="21">P37</f>
        <v>654440.42834291665</v>
      </c>
      <c r="Q38" s="359">
        <f t="shared" si="21"/>
        <v>916210.07967753219</v>
      </c>
      <c r="R38" s="359">
        <f>R37</f>
        <v>2401515.8555227392</v>
      </c>
      <c r="S38" s="356">
        <f t="shared" si="11"/>
        <v>261769.65133461554</v>
      </c>
      <c r="T38" s="357">
        <f t="shared" si="5"/>
        <v>1485305.775845207</v>
      </c>
      <c r="U38" s="363">
        <f t="shared" si="13"/>
        <v>39.999003728640723</v>
      </c>
    </row>
    <row r="39" spans="1:21">
      <c r="A39" s="1674"/>
      <c r="B39" s="1676"/>
      <c r="C39" s="355">
        <v>3</v>
      </c>
      <c r="D39" s="356">
        <f t="shared" si="19"/>
        <v>538479.64204483968</v>
      </c>
      <c r="E39" s="356">
        <f t="shared" si="19"/>
        <v>792182.29217753222</v>
      </c>
      <c r="F39" s="356">
        <f t="shared" si="19"/>
        <v>2213233.3130227393</v>
      </c>
      <c r="G39" s="356">
        <f t="shared" si="6"/>
        <v>253702.65013269254</v>
      </c>
      <c r="H39" s="357">
        <f t="shared" si="1"/>
        <v>1421051.0208452069</v>
      </c>
      <c r="I39" s="358">
        <f t="shared" si="2"/>
        <v>47.114622415301355</v>
      </c>
      <c r="J39" s="356">
        <f t="shared" si="20"/>
        <v>810878.70282271481</v>
      </c>
      <c r="K39" s="356">
        <f t="shared" si="20"/>
        <v>1181793.7586407918</v>
      </c>
      <c r="L39" s="356">
        <f t="shared" si="20"/>
        <v>3016136.4853545604</v>
      </c>
      <c r="M39" s="356">
        <f t="shared" si="8"/>
        <v>370915.05581807694</v>
      </c>
      <c r="N39" s="357">
        <f t="shared" si="3"/>
        <v>1834342.7267137687</v>
      </c>
      <c r="O39" s="362">
        <f t="shared" si="9"/>
        <v>45.742360050510705</v>
      </c>
      <c r="P39" s="359">
        <f t="shared" si="21"/>
        <v>654440.42834291665</v>
      </c>
      <c r="Q39" s="359">
        <f t="shared" si="21"/>
        <v>916210.07967753219</v>
      </c>
      <c r="R39" s="359">
        <f t="shared" si="21"/>
        <v>2401515.8555227392</v>
      </c>
      <c r="S39" s="356">
        <f t="shared" si="11"/>
        <v>261769.65133461554</v>
      </c>
      <c r="T39" s="357">
        <f t="shared" si="5"/>
        <v>1485305.775845207</v>
      </c>
      <c r="U39" s="363">
        <f t="shared" si="13"/>
        <v>39.999003728640723</v>
      </c>
    </row>
    <row r="40" spans="1:21">
      <c r="A40" s="1674"/>
      <c r="B40" s="1676"/>
      <c r="C40" s="355">
        <v>4</v>
      </c>
      <c r="D40" s="356">
        <f t="shared" si="19"/>
        <v>538479.64204483968</v>
      </c>
      <c r="E40" s="356">
        <f t="shared" si="19"/>
        <v>792182.29217753222</v>
      </c>
      <c r="F40" s="356">
        <f t="shared" si="19"/>
        <v>2213233.3130227393</v>
      </c>
      <c r="G40" s="356">
        <f t="shared" si="6"/>
        <v>253702.65013269254</v>
      </c>
      <c r="H40" s="357">
        <f t="shared" si="1"/>
        <v>1421051.0208452069</v>
      </c>
      <c r="I40" s="358">
        <f t="shared" si="2"/>
        <v>47.114622415301355</v>
      </c>
      <c r="J40" s="356">
        <f t="shared" si="20"/>
        <v>810878.70282271481</v>
      </c>
      <c r="K40" s="356">
        <f t="shared" si="20"/>
        <v>1181793.7586407918</v>
      </c>
      <c r="L40" s="356">
        <f t="shared" si="20"/>
        <v>3016136.4853545604</v>
      </c>
      <c r="M40" s="356">
        <f t="shared" si="8"/>
        <v>370915.05581807694</v>
      </c>
      <c r="N40" s="357">
        <f t="shared" si="3"/>
        <v>1834342.7267137687</v>
      </c>
      <c r="O40" s="362">
        <f t="shared" si="9"/>
        <v>45.742360050510705</v>
      </c>
      <c r="P40" s="359">
        <f t="shared" si="21"/>
        <v>654440.42834291665</v>
      </c>
      <c r="Q40" s="359">
        <f t="shared" si="21"/>
        <v>916210.07967753219</v>
      </c>
      <c r="R40" s="359">
        <f t="shared" si="21"/>
        <v>2401515.8555227392</v>
      </c>
      <c r="S40" s="356">
        <f t="shared" si="11"/>
        <v>261769.65133461554</v>
      </c>
      <c r="T40" s="357">
        <f t="shared" si="5"/>
        <v>1485305.775845207</v>
      </c>
      <c r="U40" s="363">
        <f t="shared" si="13"/>
        <v>39.999003728640723</v>
      </c>
    </row>
    <row r="41" spans="1:21">
      <c r="A41" s="1674"/>
      <c r="B41" s="1677"/>
      <c r="C41" s="374">
        <v>5</v>
      </c>
      <c r="D41" s="375">
        <f t="shared" si="19"/>
        <v>538479.64204483968</v>
      </c>
      <c r="E41" s="375">
        <f t="shared" si="19"/>
        <v>792182.29217753222</v>
      </c>
      <c r="F41" s="375">
        <f t="shared" si="19"/>
        <v>2213233.3130227393</v>
      </c>
      <c r="G41" s="375">
        <f t="shared" si="6"/>
        <v>253702.65013269254</v>
      </c>
      <c r="H41" s="376">
        <f t="shared" si="1"/>
        <v>1421051.0208452069</v>
      </c>
      <c r="I41" s="377">
        <f t="shared" si="2"/>
        <v>47.114622415301355</v>
      </c>
      <c r="J41" s="375">
        <f t="shared" si="20"/>
        <v>810878.70282271481</v>
      </c>
      <c r="K41" s="375">
        <f t="shared" si="20"/>
        <v>1181793.7586407918</v>
      </c>
      <c r="L41" s="375">
        <f t="shared" si="20"/>
        <v>3016136.4853545604</v>
      </c>
      <c r="M41" s="375">
        <f t="shared" si="8"/>
        <v>370915.05581807694</v>
      </c>
      <c r="N41" s="376">
        <f t="shared" si="3"/>
        <v>1834342.7267137687</v>
      </c>
      <c r="O41" s="395">
        <f t="shared" si="9"/>
        <v>45.742360050510705</v>
      </c>
      <c r="P41" s="378">
        <f t="shared" si="21"/>
        <v>654440.42834291665</v>
      </c>
      <c r="Q41" s="378">
        <f t="shared" si="21"/>
        <v>916210.07967753219</v>
      </c>
      <c r="R41" s="378">
        <f t="shared" si="21"/>
        <v>2401515.8555227392</v>
      </c>
      <c r="S41" s="375">
        <f t="shared" si="11"/>
        <v>261769.65133461554</v>
      </c>
      <c r="T41" s="376">
        <f t="shared" si="5"/>
        <v>1485305.775845207</v>
      </c>
      <c r="U41" s="399">
        <f t="shared" si="13"/>
        <v>39.999003728640723</v>
      </c>
    </row>
    <row r="42" spans="1:21">
      <c r="A42" s="1673">
        <v>10</v>
      </c>
      <c r="B42" s="1679" t="s">
        <v>533</v>
      </c>
      <c r="C42" s="371">
        <v>1</v>
      </c>
      <c r="D42" s="380">
        <f>'[3]ĐM-50'!D121</f>
        <v>941579.76634615415</v>
      </c>
      <c r="E42" s="380">
        <f>[3]DGSP_DayDu!L338</f>
        <v>1480145.3715884294</v>
      </c>
      <c r="F42" s="380">
        <f>DGSP_ChiTiet!N76</f>
        <v>3101966.356068471</v>
      </c>
      <c r="G42" s="380">
        <f t="shared" si="6"/>
        <v>538565.60524227528</v>
      </c>
      <c r="H42" s="372">
        <f t="shared" si="1"/>
        <v>1621820.9844800415</v>
      </c>
      <c r="I42" s="373">
        <f t="shared" si="2"/>
        <v>57.19808607742339</v>
      </c>
      <c r="J42" s="380">
        <f>'[3]ĐM-50'!D123</f>
        <v>1471752.1019056314</v>
      </c>
      <c r="K42" s="380">
        <f>[3]DGSP_DayDu!AD338</f>
        <v>1909903.9988549585</v>
      </c>
      <c r="L42" s="380">
        <f>DGSP_ChiTiet!AJ76</f>
        <v>3907469.9313240121</v>
      </c>
      <c r="M42" s="380">
        <f t="shared" si="8"/>
        <v>438151.89694932709</v>
      </c>
      <c r="N42" s="372">
        <f t="shared" si="3"/>
        <v>1997565.9324690537</v>
      </c>
      <c r="O42" s="381">
        <f t="shared" si="9"/>
        <v>29.770767534967746</v>
      </c>
      <c r="P42" s="382">
        <f>'[3]ĐM-50'!D122</f>
        <v>1140799.5860759297</v>
      </c>
      <c r="Q42" s="382">
        <f>[3]DGSP_DayDu!U338</f>
        <v>1452264.4840884295</v>
      </c>
      <c r="R42" s="382">
        <f>DGSP_ChiTiet!Y76</f>
        <v>3056525.4573184708</v>
      </c>
      <c r="S42" s="380">
        <f t="shared" si="11"/>
        <v>311464.89801249979</v>
      </c>
      <c r="T42" s="372">
        <f t="shared" si="5"/>
        <v>1604260.9732300413</v>
      </c>
      <c r="U42" s="397">
        <f t="shared" si="13"/>
        <v>27.302332663343833</v>
      </c>
    </row>
    <row r="43" spans="1:21">
      <c r="A43" s="1674"/>
      <c r="B43" s="1680"/>
      <c r="C43" s="355">
        <v>2</v>
      </c>
      <c r="D43" s="356">
        <f t="shared" ref="D43:F46" si="22">D42</f>
        <v>941579.76634615415</v>
      </c>
      <c r="E43" s="356">
        <f t="shared" si="22"/>
        <v>1480145.3715884294</v>
      </c>
      <c r="F43" s="356">
        <f>F42</f>
        <v>3101966.356068471</v>
      </c>
      <c r="G43" s="356">
        <f t="shared" si="6"/>
        <v>538565.60524227528</v>
      </c>
      <c r="H43" s="357">
        <f t="shared" si="1"/>
        <v>1621820.9844800415</v>
      </c>
      <c r="I43" s="358">
        <f t="shared" si="2"/>
        <v>57.19808607742339</v>
      </c>
      <c r="J43" s="356">
        <f t="shared" ref="J43:L46" si="23">J42</f>
        <v>1471752.1019056314</v>
      </c>
      <c r="K43" s="356">
        <f t="shared" si="23"/>
        <v>1909903.9988549585</v>
      </c>
      <c r="L43" s="356">
        <f>L42</f>
        <v>3907469.9313240121</v>
      </c>
      <c r="M43" s="356">
        <f t="shared" si="8"/>
        <v>438151.89694932709</v>
      </c>
      <c r="N43" s="357">
        <f t="shared" si="3"/>
        <v>1997565.9324690537</v>
      </c>
      <c r="O43" s="362">
        <f t="shared" si="9"/>
        <v>29.770767534967746</v>
      </c>
      <c r="P43" s="359">
        <f t="shared" ref="P43:R46" si="24">P42</f>
        <v>1140799.5860759297</v>
      </c>
      <c r="Q43" s="359">
        <f t="shared" si="24"/>
        <v>1452264.4840884295</v>
      </c>
      <c r="R43" s="359">
        <f>R42</f>
        <v>3056525.4573184708</v>
      </c>
      <c r="S43" s="356">
        <f t="shared" si="11"/>
        <v>311464.89801249979</v>
      </c>
      <c r="T43" s="357">
        <f t="shared" si="5"/>
        <v>1604260.9732300413</v>
      </c>
      <c r="U43" s="363">
        <f t="shared" si="13"/>
        <v>27.302332663343833</v>
      </c>
    </row>
    <row r="44" spans="1:21">
      <c r="A44" s="1674"/>
      <c r="B44" s="1680"/>
      <c r="C44" s="355">
        <v>3</v>
      </c>
      <c r="D44" s="356">
        <f t="shared" si="22"/>
        <v>941579.76634615415</v>
      </c>
      <c r="E44" s="356">
        <f t="shared" si="22"/>
        <v>1480145.3715884294</v>
      </c>
      <c r="F44" s="356">
        <f t="shared" si="22"/>
        <v>3101966.356068471</v>
      </c>
      <c r="G44" s="356">
        <f t="shared" si="6"/>
        <v>538565.60524227528</v>
      </c>
      <c r="H44" s="357">
        <f t="shared" si="1"/>
        <v>1621820.9844800415</v>
      </c>
      <c r="I44" s="358">
        <f t="shared" si="2"/>
        <v>57.19808607742339</v>
      </c>
      <c r="J44" s="356">
        <f t="shared" si="23"/>
        <v>1471752.1019056314</v>
      </c>
      <c r="K44" s="356">
        <f t="shared" si="23"/>
        <v>1909903.9988549585</v>
      </c>
      <c r="L44" s="356">
        <f t="shared" si="23"/>
        <v>3907469.9313240121</v>
      </c>
      <c r="M44" s="356">
        <f t="shared" si="8"/>
        <v>438151.89694932709</v>
      </c>
      <c r="N44" s="357">
        <f t="shared" si="3"/>
        <v>1997565.9324690537</v>
      </c>
      <c r="O44" s="362">
        <f t="shared" si="9"/>
        <v>29.770767534967746</v>
      </c>
      <c r="P44" s="359">
        <f t="shared" si="24"/>
        <v>1140799.5860759297</v>
      </c>
      <c r="Q44" s="359">
        <f t="shared" si="24"/>
        <v>1452264.4840884295</v>
      </c>
      <c r="R44" s="359">
        <f t="shared" si="24"/>
        <v>3056525.4573184708</v>
      </c>
      <c r="S44" s="356">
        <f t="shared" si="11"/>
        <v>311464.89801249979</v>
      </c>
      <c r="T44" s="357">
        <f t="shared" si="5"/>
        <v>1604260.9732300413</v>
      </c>
      <c r="U44" s="363">
        <f t="shared" si="13"/>
        <v>27.302332663343833</v>
      </c>
    </row>
    <row r="45" spans="1:21">
      <c r="A45" s="1674"/>
      <c r="B45" s="1680"/>
      <c r="C45" s="355">
        <v>4</v>
      </c>
      <c r="D45" s="356">
        <f t="shared" si="22"/>
        <v>941579.76634615415</v>
      </c>
      <c r="E45" s="356">
        <f t="shared" si="22"/>
        <v>1480145.3715884294</v>
      </c>
      <c r="F45" s="356">
        <f t="shared" si="22"/>
        <v>3101966.356068471</v>
      </c>
      <c r="G45" s="356">
        <f t="shared" si="6"/>
        <v>538565.60524227528</v>
      </c>
      <c r="H45" s="357">
        <f t="shared" si="1"/>
        <v>1621820.9844800415</v>
      </c>
      <c r="I45" s="358">
        <f t="shared" si="2"/>
        <v>57.19808607742339</v>
      </c>
      <c r="J45" s="356">
        <f t="shared" si="23"/>
        <v>1471752.1019056314</v>
      </c>
      <c r="K45" s="356">
        <f t="shared" si="23"/>
        <v>1909903.9988549585</v>
      </c>
      <c r="L45" s="356">
        <f t="shared" si="23"/>
        <v>3907469.9313240121</v>
      </c>
      <c r="M45" s="356">
        <f t="shared" si="8"/>
        <v>438151.89694932709</v>
      </c>
      <c r="N45" s="357">
        <f t="shared" si="3"/>
        <v>1997565.9324690537</v>
      </c>
      <c r="O45" s="362">
        <f t="shared" si="9"/>
        <v>29.770767534967746</v>
      </c>
      <c r="P45" s="359">
        <f t="shared" si="24"/>
        <v>1140799.5860759297</v>
      </c>
      <c r="Q45" s="359">
        <f t="shared" si="24"/>
        <v>1452264.4840884295</v>
      </c>
      <c r="R45" s="359">
        <f t="shared" si="24"/>
        <v>3056525.4573184708</v>
      </c>
      <c r="S45" s="356">
        <f t="shared" si="11"/>
        <v>311464.89801249979</v>
      </c>
      <c r="T45" s="357">
        <f t="shared" si="5"/>
        <v>1604260.9732300413</v>
      </c>
      <c r="U45" s="363">
        <f t="shared" si="13"/>
        <v>27.302332663343833</v>
      </c>
    </row>
    <row r="46" spans="1:21" ht="16.5" thickBot="1">
      <c r="A46" s="1678"/>
      <c r="B46" s="1681"/>
      <c r="C46" s="364">
        <v>5</v>
      </c>
      <c r="D46" s="365">
        <f t="shared" si="22"/>
        <v>941579.76634615415</v>
      </c>
      <c r="E46" s="365">
        <f t="shared" si="22"/>
        <v>1480145.3715884294</v>
      </c>
      <c r="F46" s="365">
        <f t="shared" si="22"/>
        <v>3101966.356068471</v>
      </c>
      <c r="G46" s="365">
        <f t="shared" si="6"/>
        <v>538565.60524227528</v>
      </c>
      <c r="H46" s="366">
        <f t="shared" si="1"/>
        <v>1621820.9844800415</v>
      </c>
      <c r="I46" s="367">
        <f t="shared" si="2"/>
        <v>57.19808607742339</v>
      </c>
      <c r="J46" s="365">
        <f t="shared" si="23"/>
        <v>1471752.1019056314</v>
      </c>
      <c r="K46" s="365">
        <f t="shared" si="23"/>
        <v>1909903.9988549585</v>
      </c>
      <c r="L46" s="365">
        <f t="shared" si="23"/>
        <v>3907469.9313240121</v>
      </c>
      <c r="M46" s="365">
        <f t="shared" si="8"/>
        <v>438151.89694932709</v>
      </c>
      <c r="N46" s="366">
        <f t="shared" si="3"/>
        <v>1997565.9324690537</v>
      </c>
      <c r="O46" s="368">
        <f t="shared" si="9"/>
        <v>29.770767534967746</v>
      </c>
      <c r="P46" s="369">
        <f t="shared" si="24"/>
        <v>1140799.5860759297</v>
      </c>
      <c r="Q46" s="369">
        <f t="shared" si="24"/>
        <v>1452264.4840884295</v>
      </c>
      <c r="R46" s="369">
        <f t="shared" si="24"/>
        <v>3056525.4573184708</v>
      </c>
      <c r="S46" s="365">
        <f t="shared" si="11"/>
        <v>311464.89801249979</v>
      </c>
      <c r="T46" s="366">
        <f t="shared" si="5"/>
        <v>1604260.9732300413</v>
      </c>
      <c r="U46" s="370">
        <f t="shared" si="13"/>
        <v>27.302332663343833</v>
      </c>
    </row>
    <row r="47" spans="1:21">
      <c r="A47" s="334"/>
      <c r="B47" s="335"/>
      <c r="C47" s="336"/>
      <c r="D47" s="337"/>
      <c r="E47" s="337"/>
      <c r="F47" s="337"/>
      <c r="G47" s="338"/>
      <c r="H47" s="345"/>
      <c r="I47" s="339"/>
      <c r="J47" s="337"/>
      <c r="K47" s="337"/>
      <c r="L47" s="337"/>
      <c r="M47" s="338"/>
      <c r="N47" s="345"/>
      <c r="O47" s="338"/>
      <c r="P47" s="340"/>
      <c r="Q47" s="340"/>
      <c r="R47" s="340"/>
      <c r="S47" s="338"/>
      <c r="T47" s="345"/>
      <c r="U47" s="341"/>
    </row>
    <row r="48" spans="1:21" ht="33" customHeight="1">
      <c r="B48" s="342" t="s">
        <v>15</v>
      </c>
    </row>
    <row r="49" spans="1:21" ht="31.5" customHeight="1">
      <c r="A49" s="343">
        <v>1</v>
      </c>
      <c r="B49" s="1682" t="s">
        <v>534</v>
      </c>
      <c r="C49" s="1683"/>
      <c r="D49" s="1683"/>
      <c r="E49" s="1683"/>
      <c r="F49" s="1683"/>
      <c r="G49" s="1683"/>
      <c r="H49" s="1683"/>
      <c r="I49" s="1683"/>
      <c r="J49" s="1683"/>
      <c r="K49" s="1683"/>
      <c r="L49" s="1683"/>
      <c r="M49" s="1683"/>
      <c r="N49" s="1683"/>
      <c r="O49" s="1683"/>
      <c r="P49" s="1683"/>
      <c r="Q49" s="1683"/>
      <c r="R49" s="1683"/>
      <c r="S49" s="1683"/>
      <c r="T49" s="1683"/>
      <c r="U49" s="1683"/>
    </row>
    <row r="55" spans="1:21">
      <c r="K55" s="329">
        <v>47</v>
      </c>
      <c r="M55" s="329">
        <v>177</v>
      </c>
      <c r="O55" s="329">
        <f>K55/M55*100</f>
        <v>26.55367231638418</v>
      </c>
      <c r="P55" s="329">
        <v>75</v>
      </c>
    </row>
  </sheetData>
  <mergeCells count="47">
    <mergeCell ref="A1:U1"/>
    <mergeCell ref="A2:A5"/>
    <mergeCell ref="B2:B5"/>
    <mergeCell ref="C2:C5"/>
    <mergeCell ref="D2:I2"/>
    <mergeCell ref="J2:O2"/>
    <mergeCell ref="P2:U2"/>
    <mergeCell ref="D3:D5"/>
    <mergeCell ref="E3:E5"/>
    <mergeCell ref="G3:I3"/>
    <mergeCell ref="O4:O5"/>
    <mergeCell ref="S4:S5"/>
    <mergeCell ref="U4:U5"/>
    <mergeCell ref="J3:J5"/>
    <mergeCell ref="K3:K5"/>
    <mergeCell ref="M3:O3"/>
    <mergeCell ref="P3:P5"/>
    <mergeCell ref="Q3:Q5"/>
    <mergeCell ref="S3:U3"/>
    <mergeCell ref="A7:A9"/>
    <mergeCell ref="B7:B9"/>
    <mergeCell ref="F3:F5"/>
    <mergeCell ref="L3:L5"/>
    <mergeCell ref="R3:R5"/>
    <mergeCell ref="H4:H5"/>
    <mergeCell ref="N4:N5"/>
    <mergeCell ref="T4:T5"/>
    <mergeCell ref="G4:G5"/>
    <mergeCell ref="I4:I5"/>
    <mergeCell ref="M4:M5"/>
    <mergeCell ref="A10:A14"/>
    <mergeCell ref="B10:B14"/>
    <mergeCell ref="A15:A19"/>
    <mergeCell ref="B15:B19"/>
    <mergeCell ref="A20:A24"/>
    <mergeCell ref="B20:B24"/>
    <mergeCell ref="A25:A27"/>
    <mergeCell ref="B25:B27"/>
    <mergeCell ref="A28:A31"/>
    <mergeCell ref="B28:B31"/>
    <mergeCell ref="A32:A36"/>
    <mergeCell ref="B32:B36"/>
    <mergeCell ref="A37:A41"/>
    <mergeCell ref="B37:B41"/>
    <mergeCell ref="A42:A46"/>
    <mergeCell ref="B42:B46"/>
    <mergeCell ref="B49:U49"/>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3" tint="0.59999389629810485"/>
  </sheetPr>
  <dimension ref="A1:N373"/>
  <sheetViews>
    <sheetView showZeros="0" topLeftCell="A118" zoomScaleNormal="100" workbookViewId="0">
      <selection activeCell="R92" sqref="R92"/>
    </sheetView>
  </sheetViews>
  <sheetFormatPr defaultColWidth="9" defaultRowHeight="12.75"/>
  <cols>
    <col min="1" max="1" width="8.109375" style="24" customWidth="1"/>
    <col min="2" max="2" width="41.88671875" style="26" customWidth="1"/>
    <col min="3" max="3" width="9.21875" style="25" customWidth="1"/>
    <col min="4" max="4" width="7.109375" style="25" customWidth="1"/>
    <col min="5" max="5" width="12.77734375" style="25" customWidth="1"/>
    <col min="6" max="6" width="6.44140625" style="25" customWidth="1"/>
    <col min="7" max="7" width="8.109375" style="24" customWidth="1"/>
    <col min="8" max="8" width="10.77734375" style="28" customWidth="1"/>
    <col min="9" max="9" width="13.6640625" style="28" customWidth="1"/>
    <col min="10" max="10" width="10.77734375" style="28" customWidth="1"/>
    <col min="11" max="11" width="10.33203125" style="28" hidden="1" customWidth="1"/>
    <col min="12" max="12" width="8.77734375" style="24" customWidth="1"/>
    <col min="13" max="14" width="8.77734375" style="26" customWidth="1"/>
    <col min="15" max="16" width="6.33203125" style="26" bestFit="1" customWidth="1"/>
    <col min="17" max="19" width="7.21875" style="26" bestFit="1" customWidth="1"/>
    <col min="20" max="20" width="4.88671875" style="26" customWidth="1"/>
    <col min="21" max="21" width="5.77734375" style="26" customWidth="1"/>
    <col min="22" max="22" width="9.109375" style="26" customWidth="1"/>
    <col min="23" max="24" width="7.33203125" style="26" bestFit="1" customWidth="1"/>
    <col min="25" max="26" width="5.33203125" style="26" bestFit="1" customWidth="1"/>
    <col min="27" max="27" width="8.77734375" style="26" customWidth="1"/>
    <col min="28" max="29" width="7.33203125" style="26" bestFit="1" customWidth="1"/>
    <col min="30" max="30" width="5.33203125" style="26" bestFit="1" customWidth="1"/>
    <col min="31" max="31" width="6.6640625" style="26" bestFit="1" customWidth="1"/>
    <col min="32" max="32" width="9.109375" style="26" bestFit="1" customWidth="1"/>
    <col min="33" max="33" width="7.33203125" style="26" bestFit="1" customWidth="1"/>
    <col min="34" max="34" width="8.21875" style="26" bestFit="1" customWidth="1"/>
    <col min="35" max="35" width="5.6640625" style="26" customWidth="1"/>
    <col min="36" max="36" width="7.44140625" style="26" customWidth="1"/>
    <col min="37" max="37" width="9.6640625" style="26" customWidth="1"/>
    <col min="38" max="38" width="5.33203125" style="26" bestFit="1" customWidth="1"/>
    <col min="39" max="39" width="7" style="26" customWidth="1"/>
    <col min="40" max="16384" width="9" style="26"/>
  </cols>
  <sheetData>
    <row r="1" spans="1:14" s="27" customFormat="1" ht="18.75">
      <c r="A1" s="1368" t="s">
        <v>563</v>
      </c>
      <c r="B1" s="1368"/>
      <c r="C1" s="1368"/>
      <c r="D1" s="1368"/>
      <c r="E1" s="1368"/>
      <c r="F1" s="1368"/>
      <c r="G1" s="1368"/>
      <c r="H1" s="1368"/>
      <c r="I1" s="1368"/>
      <c r="J1" s="1368"/>
      <c r="K1" s="1368"/>
      <c r="L1" s="120"/>
    </row>
    <row r="2" spans="1:14" s="609" customFormat="1" ht="15" thickBot="1">
      <c r="A2" s="604"/>
      <c r="B2" s="605" t="s">
        <v>499</v>
      </c>
      <c r="C2" s="606"/>
      <c r="D2" s="606"/>
      <c r="E2" s="606"/>
      <c r="F2" s="606"/>
      <c r="G2" s="607"/>
      <c r="H2" s="608"/>
      <c r="I2" s="608"/>
      <c r="J2" s="608"/>
      <c r="K2" s="608"/>
    </row>
    <row r="3" spans="1:14" s="614" customFormat="1" ht="15" customHeight="1">
      <c r="A3" s="1757" t="s">
        <v>24</v>
      </c>
      <c r="B3" s="610" t="s">
        <v>46</v>
      </c>
      <c r="C3" s="1759" t="s">
        <v>39</v>
      </c>
      <c r="D3" s="1761" t="s">
        <v>544</v>
      </c>
      <c r="E3" s="1759" t="s">
        <v>17</v>
      </c>
      <c r="F3" s="611" t="s">
        <v>98</v>
      </c>
      <c r="G3" s="612" t="s">
        <v>41</v>
      </c>
      <c r="H3" s="1762" t="s">
        <v>351</v>
      </c>
      <c r="I3" s="1762" t="s">
        <v>493</v>
      </c>
      <c r="J3" s="612" t="s">
        <v>494</v>
      </c>
      <c r="K3" s="613" t="s">
        <v>352</v>
      </c>
    </row>
    <row r="4" spans="1:14" s="614" customFormat="1" ht="14.25">
      <c r="A4" s="1758"/>
      <c r="B4" s="615"/>
      <c r="C4" s="1760"/>
      <c r="D4" s="1760"/>
      <c r="E4" s="1760"/>
      <c r="F4" s="616" t="s">
        <v>25</v>
      </c>
      <c r="G4" s="617" t="s">
        <v>40</v>
      </c>
      <c r="H4" s="1763"/>
      <c r="I4" s="1763"/>
      <c r="J4" s="619" t="s">
        <v>495</v>
      </c>
      <c r="K4" s="620" t="s">
        <v>495</v>
      </c>
    </row>
    <row r="5" spans="1:14" s="534" customFormat="1" ht="19.149999999999999" customHeight="1">
      <c r="A5" s="621" t="str">
        <f>L_CViec!A10</f>
        <v>I</v>
      </c>
      <c r="B5" s="1739" t="str">
        <f>L_CViec!B10</f>
        <v>ĐĂNG KÝ, CẤP GIẤY CHỨNG NHẬN LẦN ĐẦU ĐỒNG LOẠT ĐỐI VỚI HỘ GIA ĐÌNH, CÁ NHÂN, CỘNG ĐỒNG DÂN CƯ, TỔ CHỨC SỬ DỤNG ĐẤT, NGƯỜI GỐC VIỆT NAM ĐỊNH CƯ Ở NƯỚC NGOÀI TẠI ĐỊA BÀN CẤP XÃ, PHƯỜNG</v>
      </c>
      <c r="C5" s="1740"/>
      <c r="D5" s="1740"/>
      <c r="E5" s="1740"/>
      <c r="F5" s="1740"/>
      <c r="G5" s="1740"/>
      <c r="H5" s="1740"/>
      <c r="I5" s="1741"/>
      <c r="J5" s="622"/>
      <c r="K5" s="623" t="s">
        <v>338</v>
      </c>
    </row>
    <row r="6" spans="1:14" s="534" customFormat="1" ht="17.25" customHeight="1">
      <c r="A6" s="1742" t="str">
        <f>L_CViec!A11</f>
        <v>I.1</v>
      </c>
      <c r="B6" s="1743" t="str">
        <f>L_CViec!B11</f>
        <v>CÁC NỘI DUNG THỰC HIỆN TẠI ĐỊA BÀN XÃ, PHƯỜNG</v>
      </c>
      <c r="C6" s="1754"/>
      <c r="D6" s="624"/>
      <c r="E6" s="625" t="s">
        <v>353</v>
      </c>
      <c r="F6" s="1744">
        <v>1</v>
      </c>
      <c r="G6" s="626"/>
      <c r="H6" s="627">
        <f>L_CViec!AF11</f>
        <v>0</v>
      </c>
      <c r="I6" s="532" t="e">
        <f>SUM(I$12,I$22,I$23,I24,I$31,I$34,I$33,I$36,I$39,I$38,I$40,)</f>
        <v>#REF!</v>
      </c>
      <c r="J6" s="532" t="e">
        <f t="shared" ref="J6:K10" si="0">SUM(J$12,J$22,J$23,J24,J$31,J$34,J$33,J$36,J$39,J$38,J$40,)</f>
        <v>#REF!</v>
      </c>
      <c r="K6" s="533" t="e">
        <f t="shared" si="0"/>
        <v>#REF!</v>
      </c>
    </row>
    <row r="7" spans="1:14" s="534" customFormat="1" ht="17.25" customHeight="1">
      <c r="A7" s="1742"/>
      <c r="B7" s="1743"/>
      <c r="C7" s="1754"/>
      <c r="D7" s="624"/>
      <c r="E7" s="628" t="s">
        <v>202</v>
      </c>
      <c r="F7" s="1745"/>
      <c r="G7" s="629"/>
      <c r="H7" s="630"/>
      <c r="I7" s="537">
        <f>SUM(I$13,I25)</f>
        <v>53479.699519230773</v>
      </c>
      <c r="J7" s="537">
        <f>SUM(J$13,J25)</f>
        <v>0</v>
      </c>
      <c r="K7" s="538">
        <f>SUM(K$13,K25)</f>
        <v>0</v>
      </c>
    </row>
    <row r="8" spans="1:14" s="534" customFormat="1" ht="17.25" customHeight="1">
      <c r="A8" s="1742"/>
      <c r="B8" s="1743"/>
      <c r="C8" s="1754"/>
      <c r="D8" s="624"/>
      <c r="E8" s="628" t="s">
        <v>353</v>
      </c>
      <c r="F8" s="1746">
        <v>2</v>
      </c>
      <c r="G8" s="629"/>
      <c r="H8" s="630"/>
      <c r="I8" s="532" t="e">
        <f>SUM(I$12,I$22,I$23,I26,I$31,I$34,I$33,I$36,I$39,I$38,I$40,)</f>
        <v>#REF!</v>
      </c>
      <c r="J8" s="532" t="e">
        <f t="shared" si="0"/>
        <v>#REF!</v>
      </c>
      <c r="K8" s="533" t="e">
        <f t="shared" si="0"/>
        <v>#REF!</v>
      </c>
    </row>
    <row r="9" spans="1:14" s="534" customFormat="1" ht="17.25" customHeight="1">
      <c r="A9" s="1742"/>
      <c r="B9" s="1743"/>
      <c r="C9" s="1754"/>
      <c r="D9" s="624"/>
      <c r="E9" s="628" t="s">
        <v>202</v>
      </c>
      <c r="F9" s="1745"/>
      <c r="G9" s="629"/>
      <c r="H9" s="630"/>
      <c r="I9" s="537">
        <f>SUM(I$13,I27)</f>
        <v>63940.276442307688</v>
      </c>
      <c r="J9" s="537">
        <f>SUM(J$13,J27)</f>
        <v>0</v>
      </c>
      <c r="K9" s="538">
        <f>SUM(K$13,K27)</f>
        <v>0</v>
      </c>
    </row>
    <row r="10" spans="1:14" s="534" customFormat="1" ht="17.25" customHeight="1">
      <c r="A10" s="1742"/>
      <c r="B10" s="1743"/>
      <c r="C10" s="1754"/>
      <c r="D10" s="624"/>
      <c r="E10" s="628" t="s">
        <v>353</v>
      </c>
      <c r="F10" s="1746">
        <v>3</v>
      </c>
      <c r="G10" s="629"/>
      <c r="H10" s="630"/>
      <c r="I10" s="532" t="e">
        <f>SUM(I$12,I$22,I$23,I28,I$31,I$34,I$33,I$36,I$39,I$38,I$40,)</f>
        <v>#REF!</v>
      </c>
      <c r="J10" s="532" t="e">
        <f t="shared" si="0"/>
        <v>#REF!</v>
      </c>
      <c r="K10" s="533" t="e">
        <f t="shared" si="0"/>
        <v>#REF!</v>
      </c>
    </row>
    <row r="11" spans="1:14" s="534" customFormat="1" ht="17.25" customHeight="1">
      <c r="A11" s="1753"/>
      <c r="B11" s="1755"/>
      <c r="C11" s="1756"/>
      <c r="D11" s="631"/>
      <c r="E11" s="628" t="s">
        <v>202</v>
      </c>
      <c r="F11" s="1745"/>
      <c r="G11" s="629"/>
      <c r="H11" s="630"/>
      <c r="I11" s="537">
        <f>SUM(I$13,I29)</f>
        <v>76492.96875</v>
      </c>
      <c r="J11" s="537">
        <f>SUM(J$13,J29)</f>
        <v>0</v>
      </c>
      <c r="K11" s="538">
        <f>SUM(K$13,K29)</f>
        <v>0</v>
      </c>
    </row>
    <row r="12" spans="1:14" s="638" customFormat="1" ht="17.25" customHeight="1">
      <c r="A12" s="632" t="str">
        <f>L_CViec!A12</f>
        <v>1</v>
      </c>
      <c r="B12" s="633" t="str">
        <f>L_CViec!B12</f>
        <v>Công việc chuẩn bị</v>
      </c>
      <c r="C12" s="634">
        <f>L_CViec!AB12</f>
        <v>0</v>
      </c>
      <c r="D12" s="634"/>
      <c r="E12" s="634" t="s">
        <v>353</v>
      </c>
      <c r="F12" s="634">
        <f>L_CViec!AD12</f>
        <v>0</v>
      </c>
      <c r="G12" s="634">
        <f>L_CViec!AE12</f>
        <v>0</v>
      </c>
      <c r="H12" s="635">
        <f>L_CViec!AF12</f>
        <v>0</v>
      </c>
      <c r="I12" s="636">
        <f>SUM(I14,I16,I17,I20)</f>
        <v>56108.964599999992</v>
      </c>
      <c r="J12" s="636">
        <f>SUM(J14,J16,J17,J20)</f>
        <v>4195.7735624999996</v>
      </c>
      <c r="K12" s="637">
        <f>SUM(K14,K16,K17,K20)</f>
        <v>4608.125</v>
      </c>
      <c r="M12" s="639"/>
    </row>
    <row r="13" spans="1:14" s="638" customFormat="1" ht="17.25" customHeight="1">
      <c r="A13" s="632"/>
      <c r="B13" s="633"/>
      <c r="C13" s="634"/>
      <c r="D13" s="634"/>
      <c r="E13" s="634" t="s">
        <v>202</v>
      </c>
      <c r="F13" s="634"/>
      <c r="G13" s="634"/>
      <c r="H13" s="635"/>
      <c r="I13" s="636">
        <f>SUM(I15,I18)</f>
        <v>1176.8149038461538</v>
      </c>
      <c r="J13" s="636"/>
      <c r="K13" s="637"/>
      <c r="M13" s="639"/>
      <c r="N13" s="639"/>
    </row>
    <row r="14" spans="1:14" s="646" customFormat="1" ht="30" customHeight="1">
      <c r="A14" s="640" t="str">
        <f>L_CViec!A13</f>
        <v>1.1</v>
      </c>
      <c r="B14" s="641" t="str">
        <f>L_CViec!B13</f>
        <v>Chuẩn bị địa điểm đăng ký</v>
      </c>
      <c r="C14" s="642" t="str">
        <f>L_CViec!AB13</f>
        <v>Điểm</v>
      </c>
      <c r="D14" s="642">
        <f>L_CViec!AA13</f>
        <v>2</v>
      </c>
      <c r="E14" s="642" t="str">
        <f>L_CViec!AC13</f>
        <v>1KS2, 1KTV4</v>
      </c>
      <c r="F14" s="642" t="str">
        <f>L_CViec!AD13</f>
        <v>1-3</v>
      </c>
      <c r="G14" s="642">
        <f>L_CViec!AE13</f>
        <v>2</v>
      </c>
      <c r="H14" s="643">
        <f>L_CViec!AF13</f>
        <v>570199.5</v>
      </c>
      <c r="I14" s="644">
        <f>G14*H14*L_CBac!$G$68*10/8000</f>
        <v>1639.3235624999998</v>
      </c>
      <c r="J14" s="644">
        <f>$D14*$G14*L_CBac!$J$68*10/8000</f>
        <v>127.82250000000001</v>
      </c>
      <c r="K14" s="645">
        <f>$D14*$G14*L_CBac!$J$69*10/8000</f>
        <v>140.38461538461539</v>
      </c>
      <c r="M14" s="647"/>
      <c r="N14" s="639"/>
    </row>
    <row r="15" spans="1:14" s="646" customFormat="1" ht="17.25" customHeight="1">
      <c r="A15" s="640">
        <f>L_CViec!A14</f>
        <v>0</v>
      </c>
      <c r="B15" s="641">
        <f>L_CViec!B14</f>
        <v>0</v>
      </c>
      <c r="C15" s="642">
        <f>L_CViec!AB14</f>
        <v>0</v>
      </c>
      <c r="D15" s="642">
        <f>L_CViec!AA14</f>
        <v>1</v>
      </c>
      <c r="E15" s="642" t="str">
        <f>L_CViec!AC14</f>
        <v>LĐPT</v>
      </c>
      <c r="F15" s="642">
        <f>L_CViec!AD14</f>
        <v>0</v>
      </c>
      <c r="G15" s="642">
        <f>L_CViec!AE14</f>
        <v>2</v>
      </c>
      <c r="H15" s="643">
        <f>L_CViec!AF14</f>
        <v>181923.07692307694</v>
      </c>
      <c r="I15" s="644">
        <f>G15*H15*L_CBac!$G$68*10/8000</f>
        <v>523.02884615384619</v>
      </c>
      <c r="J15" s="644"/>
      <c r="K15" s="645"/>
      <c r="M15" s="647"/>
      <c r="N15" s="639"/>
    </row>
    <row r="16" spans="1:14" s="646" customFormat="1" ht="45">
      <c r="A16" s="640" t="str">
        <f>L_CViec!A15</f>
        <v>1.2</v>
      </c>
      <c r="B16" s="641" t="str">
        <f>L_CViec!B15</f>
        <v>Chuẩn bị các tài liệu, bản đồ, mẫu đơn đề nghị đăng ký, cấp GCN, danh sách các trường hợp sử dụng đất theo địa điểm (theo xã, phường)</v>
      </c>
      <c r="C16" s="642" t="str">
        <f>L_CViec!AB15</f>
        <v>Bộ tài liệu</v>
      </c>
      <c r="D16" s="642">
        <f>L_CViec!AA15</f>
        <v>3</v>
      </c>
      <c r="E16" s="642" t="str">
        <f>L_CViec!AC15</f>
        <v>1KS3, 1KS2, 1KTV4</v>
      </c>
      <c r="F16" s="642" t="str">
        <f>L_CViec!AD15</f>
        <v>1-3</v>
      </c>
      <c r="G16" s="642">
        <f>L_CViec!AE15</f>
        <v>16</v>
      </c>
      <c r="H16" s="643">
        <f>L_CViec!AF15</f>
        <v>903649.5</v>
      </c>
      <c r="I16" s="644">
        <f>G16*H16*L_CBac!$G$68/8000</f>
        <v>2078.3938499999999</v>
      </c>
      <c r="J16" s="644">
        <f>$D16*$G16*L_CBac!$J$68/8000</f>
        <v>153.387</v>
      </c>
      <c r="K16" s="645">
        <f>$D16*$G16*L_CBac!$J$69/8000</f>
        <v>168.46153846153848</v>
      </c>
      <c r="M16" s="647"/>
      <c r="N16" s="639"/>
    </row>
    <row r="17" spans="1:14" s="646" customFormat="1" ht="30">
      <c r="A17" s="640" t="str">
        <f>L_CViec!A16</f>
        <v>1.3</v>
      </c>
      <c r="B17" s="641" t="str">
        <f>L_CViec!B16</f>
        <v>Tổ chức phổ biến, tuyên truyền chủ trương, chính sách về đăng ký, cấp GCN</v>
      </c>
      <c r="C17" s="642" t="str">
        <f>L_CViec!AB16</f>
        <v>Cuộc</v>
      </c>
      <c r="D17" s="642">
        <f>L_CViec!AA16</f>
        <v>1</v>
      </c>
      <c r="E17" s="642" t="str">
        <f>L_CViec!AC16</f>
        <v>1KS3</v>
      </c>
      <c r="F17" s="642" t="str">
        <f>L_CViec!AD16</f>
        <v>1-3</v>
      </c>
      <c r="G17" s="642">
        <f>L_CViec!AE16</f>
        <v>2.5</v>
      </c>
      <c r="H17" s="643">
        <f>L_CViec!AF16</f>
        <v>333450</v>
      </c>
      <c r="I17" s="644">
        <f>G17*H17*L_CBac!$G$68*10/8000</f>
        <v>1198.3359374999998</v>
      </c>
      <c r="J17" s="644">
        <f>$D17*$G17*L_CBac!$J$68*10/8000</f>
        <v>79.889062499999994</v>
      </c>
      <c r="K17" s="645">
        <f>$D17*$G17*L_CBac!$J$69*10/8000</f>
        <v>87.740384615384613</v>
      </c>
      <c r="M17" s="647"/>
      <c r="N17" s="639"/>
    </row>
    <row r="18" spans="1:14" s="646" customFormat="1" ht="18" customHeight="1">
      <c r="A18" s="640">
        <f>L_CViec!A17</f>
        <v>0</v>
      </c>
      <c r="B18" s="641">
        <f>L_CViec!B17</f>
        <v>0</v>
      </c>
      <c r="C18" s="642">
        <f>L_CViec!AB17</f>
        <v>0</v>
      </c>
      <c r="D18" s="642">
        <f>L_CViec!AA17</f>
        <v>1</v>
      </c>
      <c r="E18" s="642" t="str">
        <f>L_CViec!AC17</f>
        <v>LĐPT</v>
      </c>
      <c r="F18" s="642" t="str">
        <f>L_CViec!AD17</f>
        <v>1-3</v>
      </c>
      <c r="G18" s="642">
        <f>L_CViec!AE17</f>
        <v>2.5</v>
      </c>
      <c r="H18" s="643">
        <f>L_CViec!AF17</f>
        <v>181923.07692307694</v>
      </c>
      <c r="I18" s="644">
        <f>G18*H18*L_CBac!$G$68*10/8000</f>
        <v>653.78605769230774</v>
      </c>
      <c r="J18" s="644"/>
      <c r="K18" s="645"/>
      <c r="M18" s="647"/>
      <c r="N18" s="639"/>
    </row>
    <row r="19" spans="1:14" s="558" customFormat="1" ht="18" customHeight="1">
      <c r="A19" s="553" t="str">
        <f>L_CViec!A18</f>
        <v>1.4</v>
      </c>
      <c r="B19" s="574" t="str">
        <f>L_CViec!B18</f>
        <v>Hướng dẫn lập hồ sơ đề nghị đăng ký, cấp GCN</v>
      </c>
      <c r="C19" s="555">
        <f>L_CViec!AB18</f>
        <v>0</v>
      </c>
      <c r="D19" s="555">
        <f>L_CViec!AA18</f>
        <v>0</v>
      </c>
      <c r="E19" s="555">
        <f>L_CViec!AC18</f>
        <v>0</v>
      </c>
      <c r="F19" s="555">
        <f>L_CViec!AD18</f>
        <v>0</v>
      </c>
      <c r="G19" s="555">
        <f>L_CViec!AE18</f>
        <v>0</v>
      </c>
      <c r="H19" s="648">
        <f>L_CViec!AF18</f>
        <v>0</v>
      </c>
      <c r="I19" s="556"/>
      <c r="J19" s="556"/>
      <c r="K19" s="557"/>
      <c r="M19" s="647"/>
      <c r="N19" s="639"/>
    </row>
    <row r="20" spans="1:14" s="558" customFormat="1" ht="18" customHeight="1">
      <c r="A20" s="553" t="str">
        <f>L_CViec!A19</f>
        <v>1.4.1</v>
      </c>
      <c r="B20" s="574" t="str">
        <f>L_CViec!B19</f>
        <v>Theo hình thức trực tiếp</v>
      </c>
      <c r="C20" s="555" t="str">
        <f>L_CViec!AB19</f>
        <v>Hồ sơ</v>
      </c>
      <c r="D20" s="555">
        <f>L_CViec!AA19</f>
        <v>1</v>
      </c>
      <c r="E20" s="555" t="str">
        <f>L_CViec!AC19</f>
        <v>1KS2</v>
      </c>
      <c r="F20" s="555" t="str">
        <f>L_CViec!AD19</f>
        <v>1-3</v>
      </c>
      <c r="G20" s="555">
        <f>L_CViec!AE19</f>
        <v>0.15</v>
      </c>
      <c r="H20" s="648">
        <f>L_CViec!AF19</f>
        <v>296770.5</v>
      </c>
      <c r="I20" s="556">
        <f>G20*H20*L_CBac!$G$68</f>
        <v>51192.91124999999</v>
      </c>
      <c r="J20" s="556">
        <f>$D20*$G20*L_CBac!$J$68</f>
        <v>3834.6749999999997</v>
      </c>
      <c r="K20" s="557">
        <f>$D20*$G20*L_CBac!$J$69</f>
        <v>4211.5384615384619</v>
      </c>
      <c r="M20" s="647"/>
      <c r="N20" s="639"/>
    </row>
    <row r="21" spans="1:14" s="558" customFormat="1" ht="18" customHeight="1">
      <c r="A21" s="553" t="str">
        <f>L_CViec!A20</f>
        <v>1.4.2</v>
      </c>
      <c r="B21" s="574" t="str">
        <f>L_CViec!B20</f>
        <v>Theo hình thức trực tuyến</v>
      </c>
      <c r="C21" s="555" t="str">
        <f>L_CViec!AB20</f>
        <v>Hồ sơ</v>
      </c>
      <c r="D21" s="555">
        <f>L_CViec!AA20</f>
        <v>1</v>
      </c>
      <c r="E21" s="555" t="str">
        <f>L_CViec!AC20</f>
        <v>1KS2</v>
      </c>
      <c r="F21" s="555" t="str">
        <f>L_CViec!AD20</f>
        <v>1-3</v>
      </c>
      <c r="G21" s="555">
        <f>L_CViec!AE20</f>
        <v>0.1</v>
      </c>
      <c r="H21" s="648">
        <f>L_CViec!AF20</f>
        <v>296770.5</v>
      </c>
      <c r="I21" s="556">
        <f>G21*H21*L_CBac!$G$68</f>
        <v>34128.607499999998</v>
      </c>
      <c r="J21" s="556">
        <f>$D21*$G21*L_CBac!$J$68</f>
        <v>2556.4500000000003</v>
      </c>
      <c r="K21" s="557">
        <f>$D21*$G21*L_CBac!$J$69</f>
        <v>2807.6923076923081</v>
      </c>
      <c r="M21" s="647"/>
      <c r="N21" s="639"/>
    </row>
    <row r="22" spans="1:14" s="552" customFormat="1" ht="75">
      <c r="A22" s="546" t="str">
        <f>L_CViec!A21</f>
        <v>2</v>
      </c>
      <c r="B22" s="559" t="str">
        <f>L_CViec!B21</f>
        <v>Nhận, kiểm tra tính đầy đủ của thành phần hồ sơ, tính thống nhất về nội dung thông tin giữa các giấy tờ, tính đầy đủ của nội dung kê khai và cấp Giấy tiếp nhận hồ sơ và hẹn trả kết quả hoặc trả lại hồ sơ, vào sổ theo dõi nhận, trả hồ sơ (theo hình thức trực tiếp, trực tuyến)</v>
      </c>
      <c r="C22" s="548" t="str">
        <f>L_CViec!AB21</f>
        <v>Hồ sơ</v>
      </c>
      <c r="D22" s="548">
        <f>L_CViec!AA21</f>
        <v>1</v>
      </c>
      <c r="E22" s="548" t="str">
        <f>L_CViec!AC21</f>
        <v>1KS2</v>
      </c>
      <c r="F22" s="548" t="str">
        <f>L_CViec!AD21</f>
        <v>1-3</v>
      </c>
      <c r="G22" s="548">
        <f>L_CViec!AE21</f>
        <v>0.2</v>
      </c>
      <c r="H22" s="649">
        <f>L_CViec!AF21</f>
        <v>296770.5</v>
      </c>
      <c r="I22" s="550">
        <f>G22*H22*L_CBac!$G$68</f>
        <v>68257.214999999997</v>
      </c>
      <c r="J22" s="550">
        <f>$D22*$G22*L_CBac!$J$68</f>
        <v>5112.9000000000005</v>
      </c>
      <c r="K22" s="551">
        <f>$D22*$G22*L_CBac!$J$69</f>
        <v>5615.3846153846162</v>
      </c>
      <c r="M22" s="647"/>
      <c r="N22" s="639"/>
    </row>
    <row r="23" spans="1:14" s="552" customFormat="1" ht="30">
      <c r="A23" s="546" t="str">
        <f>L_CViec!A22</f>
        <v>3</v>
      </c>
      <c r="B23" s="559" t="str">
        <f>L_CViec!B22</f>
        <v>Tạo tệp (File) dữ liệu hồ sơ số và nhập thông tin do người sử dụng đất kê khai, đăng ký</v>
      </c>
      <c r="C23" s="548" t="str">
        <f>L_CViec!AB22</f>
        <v>Thửa</v>
      </c>
      <c r="D23" s="548">
        <f>L_CViec!AA22</f>
        <v>1</v>
      </c>
      <c r="E23" s="548" t="str">
        <f>L_CViec!AC22</f>
        <v>1KS3</v>
      </c>
      <c r="F23" s="548" t="str">
        <f>L_CViec!AD22</f>
        <v>1-3</v>
      </c>
      <c r="G23" s="548">
        <f>L_CViec!AE22</f>
        <v>0.107</v>
      </c>
      <c r="H23" s="649">
        <f>L_CViec!AF22</f>
        <v>333450</v>
      </c>
      <c r="I23" s="550">
        <f>G23*H23*L_CBac!$G$68</f>
        <v>41031.022499999999</v>
      </c>
      <c r="J23" s="550">
        <f>$D23*$G23*L_CBac!$J$68</f>
        <v>2735.4014999999999</v>
      </c>
      <c r="K23" s="551">
        <f>$D23*$G23*L_CBac!$J$69</f>
        <v>3004.2307692307695</v>
      </c>
      <c r="M23" s="647"/>
      <c r="N23" s="639"/>
    </row>
    <row r="24" spans="1:14" s="552" customFormat="1" ht="60">
      <c r="A24" s="546" t="str">
        <f>L_CViec!A30</f>
        <v>7</v>
      </c>
      <c r="B24" s="559" t="str">
        <f>L_CViec!B30</f>
        <v>Xác nhận hiện trạng sử dụng đất có hay không có nhà ở, công trình xây dựng; tình trạng tranh chấp đất đai, tài sản gắn liền với đất; xác định đất sử dụng ổn định; xác định nguồn gốc sử dụng đất; xác nhận sự phù hợp với quy hoạch</v>
      </c>
      <c r="C24" s="548" t="str">
        <f>L_CViec!AB30</f>
        <v>Hồ sơ</v>
      </c>
      <c r="D24" s="548">
        <f>L_CViec!AA30</f>
        <v>2</v>
      </c>
      <c r="E24" s="548" t="str">
        <f>L_CViec!AC30</f>
        <v>1KS2, 1KTV4</v>
      </c>
      <c r="F24" s="548" t="str">
        <f>L_CViec!AD30</f>
        <v>1</v>
      </c>
      <c r="G24" s="548">
        <f>L_CViec!AE30</f>
        <v>0.45</v>
      </c>
      <c r="H24" s="649">
        <f>L_CViec!AF30</f>
        <v>570199.5</v>
      </c>
      <c r="I24" s="550">
        <f>G24*H24*L_CBac!$G$68</f>
        <v>295078.24124999996</v>
      </c>
      <c r="J24" s="550">
        <f>$D24*$G24*L_CBac!$J$68</f>
        <v>23008.05</v>
      </c>
      <c r="K24" s="551">
        <f>$D24*$G24*L_CBac!$J$69</f>
        <v>25269.23076923077</v>
      </c>
      <c r="M24" s="647"/>
      <c r="N24" s="639"/>
    </row>
    <row r="25" spans="1:14" s="552" customFormat="1" ht="15.75" customHeight="1">
      <c r="A25" s="546">
        <f>L_CViec!A31</f>
        <v>0</v>
      </c>
      <c r="B25" s="559">
        <f>L_CViec!B31</f>
        <v>0</v>
      </c>
      <c r="C25" s="548">
        <f>L_CViec!AB31</f>
        <v>0</v>
      </c>
      <c r="D25" s="548">
        <f>L_CViec!AA31</f>
        <v>1</v>
      </c>
      <c r="E25" s="548" t="str">
        <f>L_CViec!AC31</f>
        <v>LĐPT</v>
      </c>
      <c r="F25" s="548">
        <f>L_CViec!AD31</f>
        <v>0</v>
      </c>
      <c r="G25" s="548">
        <f>L_CViec!AE31</f>
        <v>0.25</v>
      </c>
      <c r="H25" s="649">
        <f>L_CViec!AF31</f>
        <v>181923.07692307694</v>
      </c>
      <c r="I25" s="550">
        <f>G25*H25*L_CBac!$G$68</f>
        <v>52302.884615384617</v>
      </c>
      <c r="J25" s="550"/>
      <c r="K25" s="551"/>
      <c r="M25" s="647"/>
      <c r="N25" s="639"/>
    </row>
    <row r="26" spans="1:14" s="552" customFormat="1" ht="15.75" customHeight="1">
      <c r="A26" s="546">
        <f>L_CViec!A32</f>
        <v>0</v>
      </c>
      <c r="B26" s="559">
        <f>L_CViec!B32</f>
        <v>0</v>
      </c>
      <c r="C26" s="548">
        <f>L_CViec!AB32</f>
        <v>0</v>
      </c>
      <c r="D26" s="548">
        <f>L_CViec!AA32</f>
        <v>2</v>
      </c>
      <c r="E26" s="548" t="str">
        <f>L_CViec!AC32</f>
        <v>1KS2, 1KTV4</v>
      </c>
      <c r="F26" s="548" t="str">
        <f>L_CViec!AD32</f>
        <v>2</v>
      </c>
      <c r="G26" s="548">
        <f>L_CViec!AE32</f>
        <v>0.54</v>
      </c>
      <c r="H26" s="649">
        <f>L_CViec!AF32</f>
        <v>570199.5</v>
      </c>
      <c r="I26" s="550">
        <f>G26*H26*L_CBac!$G$68</f>
        <v>354093.88949999999</v>
      </c>
      <c r="J26" s="550">
        <f>$D26*$G26*L_CBac!$J$68</f>
        <v>27609.660000000003</v>
      </c>
      <c r="K26" s="551">
        <f>$D26*$G26*L_CBac!$J$69</f>
        <v>30323.076923076926</v>
      </c>
      <c r="M26" s="647"/>
      <c r="N26" s="639"/>
    </row>
    <row r="27" spans="1:14" s="552" customFormat="1" ht="15.75" customHeight="1">
      <c r="A27" s="546">
        <f>L_CViec!A33</f>
        <v>0</v>
      </c>
      <c r="B27" s="559">
        <f>L_CViec!B33</f>
        <v>0</v>
      </c>
      <c r="C27" s="548">
        <f>L_CViec!AB33</f>
        <v>0</v>
      </c>
      <c r="D27" s="548">
        <f>L_CViec!AA33</f>
        <v>1</v>
      </c>
      <c r="E27" s="548" t="str">
        <f>L_CViec!AC33</f>
        <v>LĐPT</v>
      </c>
      <c r="F27" s="548">
        <f>L_CViec!AD33</f>
        <v>0</v>
      </c>
      <c r="G27" s="548">
        <f>L_CViec!AE33</f>
        <v>0.3</v>
      </c>
      <c r="H27" s="649">
        <f>L_CViec!AF33</f>
        <v>181923.07692307694</v>
      </c>
      <c r="I27" s="550">
        <f>G27*H27*L_CBac!$G$68</f>
        <v>62763.461538461532</v>
      </c>
      <c r="J27" s="550"/>
      <c r="K27" s="551"/>
      <c r="M27" s="647"/>
      <c r="N27" s="639"/>
    </row>
    <row r="28" spans="1:14" s="552" customFormat="1" ht="15.75" customHeight="1">
      <c r="A28" s="546">
        <f>L_CViec!A34</f>
        <v>0</v>
      </c>
      <c r="B28" s="559">
        <f>L_CViec!B34</f>
        <v>0</v>
      </c>
      <c r="C28" s="548">
        <f>L_CViec!AB34</f>
        <v>0</v>
      </c>
      <c r="D28" s="548">
        <f>L_CViec!AA34</f>
        <v>2</v>
      </c>
      <c r="E28" s="548" t="str">
        <f>L_CViec!AC34</f>
        <v>1KS2, 1KTV4</v>
      </c>
      <c r="F28" s="548" t="str">
        <f>L_CViec!AD34</f>
        <v>3</v>
      </c>
      <c r="G28" s="548">
        <f>L_CViec!AE34</f>
        <v>0.64800000000000002</v>
      </c>
      <c r="H28" s="649">
        <f>L_CViec!AF34</f>
        <v>570199.5</v>
      </c>
      <c r="I28" s="550">
        <f>G28*H28*L_CBac!$G$68</f>
        <v>424912.66739999998</v>
      </c>
      <c r="J28" s="550">
        <f>$D28*$G28*L_CBac!$J$68</f>
        <v>33131.592000000004</v>
      </c>
      <c r="K28" s="551">
        <f>$D28*$G28*L_CBac!$J$69</f>
        <v>36387.692307692312</v>
      </c>
      <c r="M28" s="647"/>
      <c r="N28" s="639"/>
    </row>
    <row r="29" spans="1:14" s="552" customFormat="1" ht="15.75" customHeight="1">
      <c r="A29" s="546">
        <f>L_CViec!A35</f>
        <v>0</v>
      </c>
      <c r="B29" s="559">
        <f>L_CViec!B35</f>
        <v>0</v>
      </c>
      <c r="C29" s="548">
        <f>L_CViec!AB35</f>
        <v>0</v>
      </c>
      <c r="D29" s="548">
        <f>L_CViec!AA35</f>
        <v>1</v>
      </c>
      <c r="E29" s="548" t="str">
        <f>L_CViec!AC35</f>
        <v>LĐPT</v>
      </c>
      <c r="F29" s="548">
        <f>L_CViec!AD35</f>
        <v>0</v>
      </c>
      <c r="G29" s="548">
        <f>L_CViec!AE35</f>
        <v>0.36</v>
      </c>
      <c r="H29" s="649">
        <f>L_CViec!AF35</f>
        <v>181923.07692307694</v>
      </c>
      <c r="I29" s="550">
        <f>G29*H29*L_CBac!$G$68</f>
        <v>75316.153846153844</v>
      </c>
      <c r="J29" s="550"/>
      <c r="K29" s="551"/>
      <c r="M29" s="647"/>
      <c r="N29" s="639"/>
    </row>
    <row r="30" spans="1:14" s="552" customFormat="1" ht="30">
      <c r="A30" s="546" t="str">
        <f>L_CViec!A44</f>
        <v>11</v>
      </c>
      <c r="B30" s="559" t="str">
        <f>L_CViec!B44</f>
        <v>Nhận các ý kiến phản ánh; Xem xét giải quyết các ý kiến phản ánh về nội dung đã công khai</v>
      </c>
      <c r="C30" s="548">
        <f>L_CViec!AB44</f>
        <v>0</v>
      </c>
      <c r="D30" s="548">
        <f>L_CViec!AA44</f>
        <v>0</v>
      </c>
      <c r="E30" s="548">
        <f>L_CViec!AC44</f>
        <v>0</v>
      </c>
      <c r="F30" s="548">
        <f>L_CViec!AD44</f>
        <v>0</v>
      </c>
      <c r="G30" s="548">
        <f>L_CViec!AE44</f>
        <v>0</v>
      </c>
      <c r="H30" s="649">
        <f>L_CViec!AF44</f>
        <v>0</v>
      </c>
      <c r="I30" s="550"/>
      <c r="J30" s="550"/>
      <c r="K30" s="551"/>
      <c r="M30" s="647"/>
      <c r="N30" s="639"/>
    </row>
    <row r="31" spans="1:14" s="558" customFormat="1" ht="15.75" customHeight="1">
      <c r="A31" s="553" t="str">
        <f>L_CViec!A45</f>
        <v>11.1</v>
      </c>
      <c r="B31" s="574" t="str">
        <f>L_CViec!B45</f>
        <v>Theo hình thức trực tiếp</v>
      </c>
      <c r="C31" s="555" t="str">
        <f>L_CViec!AB45</f>
        <v>Hồ sơ</v>
      </c>
      <c r="D31" s="555">
        <f>L_CViec!AA45</f>
        <v>1</v>
      </c>
      <c r="E31" s="555" t="str">
        <f>L_CViec!AC45</f>
        <v>1KS3</v>
      </c>
      <c r="F31" s="555" t="str">
        <f>L_CViec!AD45</f>
        <v>1-3</v>
      </c>
      <c r="G31" s="555">
        <f>L_CViec!AE45</f>
        <v>1.4999999999999999E-2</v>
      </c>
      <c r="H31" s="648">
        <f>L_CViec!AF45</f>
        <v>333450</v>
      </c>
      <c r="I31" s="556">
        <f>G31*H31*L_CBac!$G$68</f>
        <v>5752.0124999999998</v>
      </c>
      <c r="J31" s="556">
        <f>$D31*$G31*L_CBac!$J$68</f>
        <v>383.46749999999997</v>
      </c>
      <c r="K31" s="557">
        <f>$D31*$G31*L_CBac!$J$69</f>
        <v>421.15384615384613</v>
      </c>
      <c r="M31" s="647"/>
      <c r="N31" s="639"/>
    </row>
    <row r="32" spans="1:14" s="558" customFormat="1" ht="15.75" customHeight="1">
      <c r="A32" s="553" t="str">
        <f>L_CViec!A46</f>
        <v>11.2</v>
      </c>
      <c r="B32" s="574" t="str">
        <f>L_CViec!B46</f>
        <v>Theo hình thức trực tuyến</v>
      </c>
      <c r="C32" s="555" t="str">
        <f>L_CViec!AB46</f>
        <v>Hồ sơ</v>
      </c>
      <c r="D32" s="555">
        <f>L_CViec!AA46</f>
        <v>1</v>
      </c>
      <c r="E32" s="555" t="str">
        <f>L_CViec!AC46</f>
        <v>1KS3</v>
      </c>
      <c r="F32" s="555" t="str">
        <f>L_CViec!AD46</f>
        <v>1-3</v>
      </c>
      <c r="G32" s="555">
        <f>L_CViec!AE46</f>
        <v>0.01</v>
      </c>
      <c r="H32" s="648">
        <f>L_CViec!AF46</f>
        <v>333450</v>
      </c>
      <c r="I32" s="556">
        <f>G32*H32*L_CBac!$G$68</f>
        <v>3834.6749999999997</v>
      </c>
      <c r="J32" s="556">
        <f>$D32*$G32*L_CBac!$J$68</f>
        <v>255.64500000000001</v>
      </c>
      <c r="K32" s="557">
        <f>$D32*$G32*L_CBac!$J$69</f>
        <v>280.76923076923077</v>
      </c>
      <c r="M32" s="647"/>
      <c r="N32" s="639"/>
    </row>
    <row r="33" spans="1:14" s="552" customFormat="1" ht="30">
      <c r="A33" s="546" t="str">
        <f>L_CViec!A47</f>
        <v>12</v>
      </c>
      <c r="B33" s="559" t="str">
        <f>L_CViec!B47</f>
        <v>Kiểm tra việc đủ điều kiện hay không đủ điều kiện được cấp Giấy chứng nhận</v>
      </c>
      <c r="C33" s="548" t="str">
        <f>L_CViec!AB47</f>
        <v>Thửa</v>
      </c>
      <c r="D33" s="548">
        <f>L_CViec!AA47</f>
        <v>1</v>
      </c>
      <c r="E33" s="548" t="str">
        <f>L_CViec!AC47</f>
        <v>1KS3</v>
      </c>
      <c r="F33" s="548" t="str">
        <f>L_CViec!AD47</f>
        <v>1-3</v>
      </c>
      <c r="G33" s="548">
        <f>L_CViec!AE47</f>
        <v>0.2</v>
      </c>
      <c r="H33" s="649">
        <f>L_CViec!AF47</f>
        <v>333450</v>
      </c>
      <c r="I33" s="550">
        <f>G33*H33*L_CBac!$G$68</f>
        <v>76693.5</v>
      </c>
      <c r="J33" s="550">
        <f>$D33*$G33*L_CBac!$J$68</f>
        <v>5112.9000000000005</v>
      </c>
      <c r="K33" s="551">
        <f>$D33*$G33*L_CBac!$J$69</f>
        <v>5615.3846153846162</v>
      </c>
      <c r="M33" s="647"/>
      <c r="N33" s="639"/>
    </row>
    <row r="34" spans="1:14" s="552" customFormat="1" ht="15">
      <c r="A34" s="546" t="e">
        <f>L_CViec!#REF!</f>
        <v>#REF!</v>
      </c>
      <c r="B34" s="559" t="e">
        <f>L_CViec!#REF!</f>
        <v>#REF!</v>
      </c>
      <c r="C34" s="548" t="e">
        <f>L_CViec!#REF!</f>
        <v>#REF!</v>
      </c>
      <c r="D34" s="548" t="e">
        <f>L_CViec!#REF!</f>
        <v>#REF!</v>
      </c>
      <c r="E34" s="548" t="e">
        <f>L_CViec!#REF!</f>
        <v>#REF!</v>
      </c>
      <c r="F34" s="548" t="e">
        <f>L_CViec!#REF!</f>
        <v>#REF!</v>
      </c>
      <c r="G34" s="548" t="e">
        <f>L_CViec!#REF!</f>
        <v>#REF!</v>
      </c>
      <c r="H34" s="649" t="e">
        <f>L_CViec!#REF!</f>
        <v>#REF!</v>
      </c>
      <c r="I34" s="550" t="e">
        <f>G34*H34*L_CBac!$G$68</f>
        <v>#REF!</v>
      </c>
      <c r="J34" s="550" t="e">
        <f>$D34*$G34*L_CBac!$J$68</f>
        <v>#REF!</v>
      </c>
      <c r="K34" s="551" t="e">
        <f>$D34*$G34*L_CBac!$J$69</f>
        <v>#REF!</v>
      </c>
      <c r="M34" s="647"/>
      <c r="N34" s="639"/>
    </row>
    <row r="35" spans="1:14" s="552" customFormat="1" ht="15">
      <c r="A35" s="546" t="str">
        <f>L_CViec!A48</f>
        <v>13</v>
      </c>
      <c r="B35" s="559" t="str">
        <f>L_CViec!B48</f>
        <v>Lập Tờ trình trình Chủ tịch UBND phường</v>
      </c>
      <c r="C35" s="548">
        <f>L_CViec!AB48</f>
        <v>0</v>
      </c>
      <c r="D35" s="548">
        <f>L_CViec!AA48</f>
        <v>0</v>
      </c>
      <c r="E35" s="548">
        <f>L_CViec!AC48</f>
        <v>0</v>
      </c>
      <c r="F35" s="548">
        <f>L_CViec!AD48</f>
        <v>0</v>
      </c>
      <c r="G35" s="548">
        <f>L_CViec!AE48</f>
        <v>0</v>
      </c>
      <c r="H35" s="649">
        <f>L_CViec!AF48</f>
        <v>0</v>
      </c>
      <c r="I35" s="550"/>
      <c r="J35" s="550"/>
      <c r="K35" s="551"/>
      <c r="M35" s="647"/>
      <c r="N35" s="639"/>
    </row>
    <row r="36" spans="1:14" s="558" customFormat="1" ht="18" customHeight="1">
      <c r="A36" s="553" t="str">
        <f>L_CViec!A49</f>
        <v>13.1</v>
      </c>
      <c r="B36" s="574" t="str">
        <f>L_CViec!B49</f>
        <v>Theo hình thức trực tiếp</v>
      </c>
      <c r="C36" s="555" t="str">
        <f>L_CViec!AB49</f>
        <v>Hồ sơ</v>
      </c>
      <c r="D36" s="555">
        <f>L_CViec!AA49</f>
        <v>1</v>
      </c>
      <c r="E36" s="555" t="str">
        <f>L_CViec!AC49</f>
        <v>1KS3</v>
      </c>
      <c r="F36" s="555" t="str">
        <f>L_CViec!AD49</f>
        <v>1-3</v>
      </c>
      <c r="G36" s="555">
        <f>L_CViec!AE49</f>
        <v>0.05</v>
      </c>
      <c r="H36" s="648">
        <f>L_CViec!AF49</f>
        <v>333450</v>
      </c>
      <c r="I36" s="556">
        <f>G36*H36*L_CBac!$G$68</f>
        <v>19173.375</v>
      </c>
      <c r="J36" s="556">
        <f>$D36*$G36*L_CBac!$J$68</f>
        <v>1278.2250000000001</v>
      </c>
      <c r="K36" s="557">
        <f>$D36*$G36*L_CBac!$J$69</f>
        <v>1403.846153846154</v>
      </c>
      <c r="M36" s="647"/>
      <c r="N36" s="639"/>
    </row>
    <row r="37" spans="1:14" s="558" customFormat="1" ht="18" customHeight="1">
      <c r="A37" s="553" t="str">
        <f>L_CViec!A50</f>
        <v>13.2</v>
      </c>
      <c r="B37" s="574" t="str">
        <f>L_CViec!B50</f>
        <v>Theo hình thức trực tuyến</v>
      </c>
      <c r="C37" s="555" t="str">
        <f>L_CViec!AB50</f>
        <v>Hồ sơ</v>
      </c>
      <c r="D37" s="555">
        <f>L_CViec!AA50</f>
        <v>1</v>
      </c>
      <c r="E37" s="555" t="str">
        <f>L_CViec!AC50</f>
        <v>1KS3</v>
      </c>
      <c r="F37" s="555" t="str">
        <f>L_CViec!AD50</f>
        <v>1-3</v>
      </c>
      <c r="G37" s="555">
        <f>L_CViec!AE50</f>
        <v>0.04</v>
      </c>
      <c r="H37" s="648">
        <f>L_CViec!AF50</f>
        <v>333450</v>
      </c>
      <c r="I37" s="556">
        <f>G37*H37*L_CBac!$G$68</f>
        <v>15338.699999999999</v>
      </c>
      <c r="J37" s="556">
        <f>$D37*$G37*L_CBac!$J$68</f>
        <v>1022.58</v>
      </c>
      <c r="K37" s="557">
        <f>$D37*$G37*L_CBac!$J$69</f>
        <v>1123.0769230769231</v>
      </c>
      <c r="M37" s="647"/>
      <c r="N37" s="639"/>
    </row>
    <row r="38" spans="1:14" s="552" customFormat="1" ht="15">
      <c r="A38" s="546" t="str">
        <f>L_CViec!A51</f>
        <v>14</v>
      </c>
      <c r="B38" s="559" t="str">
        <f>L_CViec!B51</f>
        <v>Quyết định hình thức sử dụng đất đối với tổ chức</v>
      </c>
      <c r="C38" s="548" t="str">
        <f>L_CViec!AB51</f>
        <v>Hồ sơ</v>
      </c>
      <c r="D38" s="548">
        <f>L_CViec!AA51</f>
        <v>1</v>
      </c>
      <c r="E38" s="548" t="str">
        <f>L_CViec!AC51</f>
        <v>1KS3</v>
      </c>
      <c r="F38" s="548" t="str">
        <f>L_CViec!AD51</f>
        <v>1-3</v>
      </c>
      <c r="G38" s="548">
        <f>L_CViec!AE51</f>
        <v>0.05</v>
      </c>
      <c r="H38" s="550">
        <f>L_CViec!AF51</f>
        <v>333450</v>
      </c>
      <c r="I38" s="550">
        <f>G38*H38*L_CBac!$G$68</f>
        <v>19173.375</v>
      </c>
      <c r="J38" s="550">
        <f>$D38*$G38*L_CBac!$J$68</f>
        <v>1278.2250000000001</v>
      </c>
      <c r="K38" s="551">
        <f>$D38*$G38*L_CBac!$J$69</f>
        <v>1403.846153846154</v>
      </c>
      <c r="M38" s="647"/>
      <c r="N38" s="639"/>
    </row>
    <row r="39" spans="1:14" s="552" customFormat="1" ht="45">
      <c r="A39" s="546" t="str">
        <f>L_CViec!A53</f>
        <v>16</v>
      </c>
      <c r="B39" s="559" t="str">
        <f>L_CViec!B53</f>
        <v>Chuyển Thông báo xác nhận kết quả đăng ký đất đai đến Bộ phận một cửa hoặc chuyển Giấy chứng nhận thông qua dịch vụ bưu chính công ích để trao cho người sử dụng đất.</v>
      </c>
      <c r="C39" s="548" t="str">
        <f>L_CViec!AB53</f>
        <v>Hồ sơ</v>
      </c>
      <c r="D39" s="548">
        <f>L_CViec!AA53</f>
        <v>1</v>
      </c>
      <c r="E39" s="548" t="str">
        <f>L_CViec!AC53</f>
        <v>1KS1</v>
      </c>
      <c r="F39" s="548" t="str">
        <f>L_CViec!AD53</f>
        <v>1-3</v>
      </c>
      <c r="G39" s="548">
        <f>L_CViec!AE53</f>
        <v>0.02</v>
      </c>
      <c r="H39" s="550">
        <f>L_CViec!AF53</f>
        <v>260091</v>
      </c>
      <c r="I39" s="550">
        <f>G39*H39*L_CBac!$G$68</f>
        <v>5982.0929999999989</v>
      </c>
      <c r="J39" s="550">
        <f>$D39*$G39*L_CBac!$J$68</f>
        <v>511.29</v>
      </c>
      <c r="K39" s="551">
        <f>$D39*$G39*L_CBac!$J$69</f>
        <v>561.53846153846155</v>
      </c>
      <c r="M39" s="647"/>
      <c r="N39" s="639"/>
    </row>
    <row r="40" spans="1:14" s="552" customFormat="1" ht="30">
      <c r="A40" s="546" t="str">
        <f>L_CViec!A54</f>
        <v>17</v>
      </c>
      <c r="B40" s="559" t="str">
        <f>L_CViec!B54</f>
        <v>Chuyển hồ sơ đến Văn phòng đăng ký đất đai để cập nhật, chỉnh lý hồ sơ địa chính, cơ sở dữ liệu đất đai.</v>
      </c>
      <c r="C40" s="548" t="str">
        <f>L_CViec!AB54</f>
        <v>Hồ sơ</v>
      </c>
      <c r="D40" s="548">
        <f>L_CViec!AA54</f>
        <v>1</v>
      </c>
      <c r="E40" s="548" t="str">
        <f>L_CViec!AC54</f>
        <v>1KS1</v>
      </c>
      <c r="F40" s="548" t="str">
        <f>L_CViec!AD54</f>
        <v>1-3</v>
      </c>
      <c r="G40" s="548">
        <f>L_CViec!AE54</f>
        <v>0.02</v>
      </c>
      <c r="H40" s="550">
        <f>L_CViec!AF54</f>
        <v>260091</v>
      </c>
      <c r="I40" s="550">
        <f>G40*H40*L_CBac!$G$68</f>
        <v>5982.0929999999989</v>
      </c>
      <c r="J40" s="550">
        <f>$D40*$G40*L_CBac!$J$68</f>
        <v>511.29</v>
      </c>
      <c r="K40" s="551">
        <f>$D40*$G40*L_CBac!$J$69</f>
        <v>561.53846153846155</v>
      </c>
      <c r="M40" s="647"/>
      <c r="N40" s="639"/>
    </row>
    <row r="41" spans="1:14" s="534" customFormat="1" ht="26.45" customHeight="1">
      <c r="A41" s="650" t="e">
        <f>L_CViec!#REF!</f>
        <v>#REF!</v>
      </c>
      <c r="B41" s="1750" t="e">
        <f>L_CViec!#REF!</f>
        <v>#REF!</v>
      </c>
      <c r="C41" s="1751"/>
      <c r="D41" s="651"/>
      <c r="E41" s="588"/>
      <c r="F41" s="588"/>
      <c r="G41" s="588"/>
      <c r="H41" s="588"/>
      <c r="I41" s="537" t="e">
        <f>SUM(I43,I45,I46,I47,I49,I52,I55,I57,I60,I58,I62,I63,I64,I65,I71,I72)</f>
        <v>#REF!</v>
      </c>
      <c r="J41" s="537" t="e">
        <f>SUM(J43,J45,J46,J47,J49,J52,J55,J57,J60,J58,J62,J63,J64,J65,J71,J72)</f>
        <v>#REF!</v>
      </c>
      <c r="K41" s="538" t="e">
        <f>SUM(K43,K45,K46,K47,K49,K52,K55,K57,K60,K58,K62,K63,K64,K65,K71,K72)</f>
        <v>#REF!</v>
      </c>
      <c r="M41" s="647"/>
      <c r="N41" s="639"/>
    </row>
    <row r="42" spans="1:14" s="552" customFormat="1" ht="45">
      <c r="A42" s="546" t="str">
        <f>L_CViec!A55</f>
        <v>18</v>
      </c>
      <c r="B42" s="559" t="str">
        <f>L_CViec!B55</f>
        <v>Lập, gửi Phiếu chuyển thông tin xác định nghĩa vụ tài chính đối với trường hợp có nhu cầu cấp Giấy chứng nhận và đủ điều kiện</v>
      </c>
      <c r="C42" s="548">
        <f>L_CViec!AB55</f>
        <v>0</v>
      </c>
      <c r="D42" s="548">
        <f>L_CViec!AA55</f>
        <v>0</v>
      </c>
      <c r="E42" s="548">
        <f>L_CViec!AC55</f>
        <v>0</v>
      </c>
      <c r="F42" s="548">
        <f>L_CViec!AD55</f>
        <v>0</v>
      </c>
      <c r="G42" s="548">
        <f>L_CViec!AE55</f>
        <v>0</v>
      </c>
      <c r="H42" s="550">
        <f>L_CViec!AF55</f>
        <v>0</v>
      </c>
      <c r="I42" s="550"/>
      <c r="J42" s="550"/>
      <c r="K42" s="551"/>
      <c r="M42" s="647"/>
      <c r="N42" s="639"/>
    </row>
    <row r="43" spans="1:14" s="558" customFormat="1" ht="20.100000000000001" customHeight="1">
      <c r="A43" s="553" t="str">
        <f>L_CViec!A56</f>
        <v>18.1</v>
      </c>
      <c r="B43" s="574" t="str">
        <f>L_CViec!B56</f>
        <v>Chuyển thông tin theo hình thức liên thông</v>
      </c>
      <c r="C43" s="555" t="str">
        <f>L_CViec!AB56</f>
        <v>Hồ sơ</v>
      </c>
      <c r="D43" s="555">
        <f>L_CViec!AA56</f>
        <v>1</v>
      </c>
      <c r="E43" s="555" t="str">
        <f>L_CViec!AC56</f>
        <v>1KS3</v>
      </c>
      <c r="F43" s="555" t="str">
        <f>L_CViec!AD56</f>
        <v>1-3</v>
      </c>
      <c r="G43" s="555">
        <f>L_CViec!AE56</f>
        <v>0.05</v>
      </c>
      <c r="H43" s="556">
        <f>L_CViec!AF56</f>
        <v>333450</v>
      </c>
      <c r="I43" s="556">
        <f>G43*H43*L_CBac!$G$68</f>
        <v>19173.375</v>
      </c>
      <c r="J43" s="556">
        <f>$D43*$G43*L_CBac!$J$68</f>
        <v>1278.2250000000001</v>
      </c>
      <c r="K43" s="557">
        <f>$D43*$G43*L_CBac!$J$69</f>
        <v>1403.846153846154</v>
      </c>
      <c r="M43" s="647"/>
      <c r="N43" s="639"/>
    </row>
    <row r="44" spans="1:14" s="558" customFormat="1" ht="20.100000000000001" customHeight="1">
      <c r="A44" s="553" t="str">
        <f>L_CViec!A57</f>
        <v>18.2</v>
      </c>
      <c r="B44" s="574" t="str">
        <f>L_CViec!B57</f>
        <v>Chuyển thông tin theo hình thức trực tiếp</v>
      </c>
      <c r="C44" s="555" t="str">
        <f>L_CViec!AB57</f>
        <v>Hồ sơ</v>
      </c>
      <c r="D44" s="555">
        <f>L_CViec!AA57</f>
        <v>1</v>
      </c>
      <c r="E44" s="555" t="str">
        <f>L_CViec!AC57</f>
        <v>1KS3</v>
      </c>
      <c r="F44" s="555" t="str">
        <f>L_CViec!AD57</f>
        <v>1-3</v>
      </c>
      <c r="G44" s="555">
        <f>L_CViec!AE57</f>
        <v>0.06</v>
      </c>
      <c r="H44" s="556">
        <f>L_CViec!AF57</f>
        <v>333450</v>
      </c>
      <c r="I44" s="556">
        <f>G44*H44*L_CBac!$G$68</f>
        <v>23008.05</v>
      </c>
      <c r="J44" s="556">
        <f>$D44*$G44*L_CBac!$J$68</f>
        <v>1533.87</v>
      </c>
      <c r="K44" s="557">
        <f>$D44*$G44*L_CBac!$J$69</f>
        <v>1684.6153846153845</v>
      </c>
      <c r="M44" s="647"/>
      <c r="N44" s="639"/>
    </row>
    <row r="45" spans="1:14" s="552" customFormat="1" ht="30">
      <c r="A45" s="546" t="str">
        <f>L_CViec!A61</f>
        <v>20</v>
      </c>
      <c r="B45" s="559" t="str">
        <f>L_CViec!B61</f>
        <v xml:space="preserve">Nhập thông tin về nghĩa vụ tài chính, đăng ký vào hồ sơ địa chính </v>
      </c>
      <c r="C45" s="548" t="str">
        <f>L_CViec!AB61</f>
        <v>Thửa</v>
      </c>
      <c r="D45" s="548">
        <f>L_CViec!AA61</f>
        <v>1</v>
      </c>
      <c r="E45" s="548" t="str">
        <f>L_CViec!AC61</f>
        <v>1KS3</v>
      </c>
      <c r="F45" s="548" t="str">
        <f>L_CViec!AD61</f>
        <v>1-3</v>
      </c>
      <c r="G45" s="548">
        <f>L_CViec!AE61</f>
        <v>0.03</v>
      </c>
      <c r="H45" s="550">
        <f>L_CViec!AF61</f>
        <v>333450</v>
      </c>
      <c r="I45" s="550">
        <f>G45*H45*L_CBac!$G$68</f>
        <v>11504.025</v>
      </c>
      <c r="J45" s="550">
        <f>$D45*$G45*L_CBac!$J$68</f>
        <v>766.93499999999995</v>
      </c>
      <c r="K45" s="551">
        <f>$D45*$G45*L_CBac!$J$69</f>
        <v>842.30769230769226</v>
      </c>
      <c r="M45" s="647"/>
      <c r="N45" s="639"/>
    </row>
    <row r="46" spans="1:14" s="552" customFormat="1" ht="15">
      <c r="A46" s="546" t="e">
        <f>L_CViec!#REF!</f>
        <v>#REF!</v>
      </c>
      <c r="B46" s="559" t="e">
        <f>L_CViec!#REF!</f>
        <v>#REF!</v>
      </c>
      <c r="C46" s="548" t="e">
        <f>L_CViec!#REF!</f>
        <v>#REF!</v>
      </c>
      <c r="D46" s="548" t="e">
        <f>L_CViec!#REF!</f>
        <v>#REF!</v>
      </c>
      <c r="E46" s="548" t="e">
        <f>L_CViec!#REF!</f>
        <v>#REF!</v>
      </c>
      <c r="F46" s="548" t="e">
        <f>L_CViec!#REF!</f>
        <v>#REF!</v>
      </c>
      <c r="G46" s="548" t="e">
        <f>L_CViec!#REF!</f>
        <v>#REF!</v>
      </c>
      <c r="H46" s="550" t="e">
        <f>L_CViec!#REF!</f>
        <v>#REF!</v>
      </c>
      <c r="I46" s="550" t="e">
        <f>G46*H46*L_CBac!$G$68</f>
        <v>#REF!</v>
      </c>
      <c r="J46" s="550" t="e">
        <f>$D46*$G46*L_CBac!$J$68</f>
        <v>#REF!</v>
      </c>
      <c r="K46" s="551" t="e">
        <f>$D46*$G46*L_CBac!$J$69</f>
        <v>#REF!</v>
      </c>
      <c r="M46" s="647"/>
      <c r="N46" s="639"/>
    </row>
    <row r="47" spans="1:14" s="552" customFormat="1" ht="15">
      <c r="A47" s="546" t="e">
        <f>L_CViec!#REF!</f>
        <v>#REF!</v>
      </c>
      <c r="B47" s="559" t="e">
        <f>L_CViec!#REF!</f>
        <v>#REF!</v>
      </c>
      <c r="C47" s="548" t="e">
        <f>L_CViec!#REF!</f>
        <v>#REF!</v>
      </c>
      <c r="D47" s="548" t="e">
        <f>L_CViec!#REF!</f>
        <v>#REF!</v>
      </c>
      <c r="E47" s="548" t="e">
        <f>L_CViec!#REF!</f>
        <v>#REF!</v>
      </c>
      <c r="F47" s="548" t="e">
        <f>L_CViec!#REF!</f>
        <v>#REF!</v>
      </c>
      <c r="G47" s="548" t="e">
        <f>L_CViec!#REF!</f>
        <v>#REF!</v>
      </c>
      <c r="H47" s="550" t="e">
        <f>L_CViec!#REF!</f>
        <v>#REF!</v>
      </c>
      <c r="I47" s="550" t="e">
        <f>G47*H47*L_CBac!$G$68</f>
        <v>#REF!</v>
      </c>
      <c r="J47" s="550" t="e">
        <f>$D47*$G47*L_CBac!$J$68</f>
        <v>#REF!</v>
      </c>
      <c r="K47" s="551" t="e">
        <f>$D47*$G47*L_CBac!$J$69</f>
        <v>#REF!</v>
      </c>
      <c r="M47" s="647"/>
      <c r="N47" s="639"/>
    </row>
    <row r="48" spans="1:14" s="657" customFormat="1" ht="20.100000000000001" customHeight="1">
      <c r="A48" s="652" t="e">
        <f>L_CViec!#REF!</f>
        <v>#REF!</v>
      </c>
      <c r="B48" s="653" t="e">
        <f>L_CViec!#REF!</f>
        <v>#REF!</v>
      </c>
      <c r="C48" s="654" t="e">
        <f>L_CViec!#REF!</f>
        <v>#REF!</v>
      </c>
      <c r="D48" s="654" t="e">
        <f>L_CViec!#REF!</f>
        <v>#REF!</v>
      </c>
      <c r="E48" s="654" t="e">
        <f>L_CViec!#REF!</f>
        <v>#REF!</v>
      </c>
      <c r="F48" s="654" t="e">
        <f>L_CViec!#REF!</f>
        <v>#REF!</v>
      </c>
      <c r="G48" s="654" t="e">
        <f>L_CViec!#REF!</f>
        <v>#REF!</v>
      </c>
      <c r="H48" s="655" t="e">
        <f>L_CViec!#REF!</f>
        <v>#REF!</v>
      </c>
      <c r="I48" s="655"/>
      <c r="J48" s="655"/>
      <c r="K48" s="656"/>
      <c r="M48" s="647"/>
      <c r="N48" s="639"/>
    </row>
    <row r="49" spans="1:14" s="663" customFormat="1" ht="20.100000000000001" customHeight="1">
      <c r="A49" s="658" t="e">
        <f>L_CViec!#REF!</f>
        <v>#REF!</v>
      </c>
      <c r="B49" s="659" t="e">
        <f>L_CViec!#REF!</f>
        <v>#REF!</v>
      </c>
      <c r="C49" s="660" t="e">
        <f>L_CViec!#REF!</f>
        <v>#REF!</v>
      </c>
      <c r="D49" s="660" t="e">
        <f>L_CViec!#REF!</f>
        <v>#REF!</v>
      </c>
      <c r="E49" s="660" t="e">
        <f>L_CViec!#REF!</f>
        <v>#REF!</v>
      </c>
      <c r="F49" s="660" t="e">
        <f>L_CViec!#REF!</f>
        <v>#REF!</v>
      </c>
      <c r="G49" s="660" t="e">
        <f>L_CViec!#REF!</f>
        <v>#REF!</v>
      </c>
      <c r="H49" s="661" t="e">
        <f>L_CViec!#REF!</f>
        <v>#REF!</v>
      </c>
      <c r="I49" s="661" t="e">
        <f>G49*H49*L_CBac!$G$68</f>
        <v>#REF!</v>
      </c>
      <c r="J49" s="661" t="e">
        <f>$D49*$G49*L_CBac!$J$68</f>
        <v>#REF!</v>
      </c>
      <c r="K49" s="662" t="e">
        <f>$D49*$G49*L_CBac!$J$69</f>
        <v>#REF!</v>
      </c>
      <c r="M49" s="647"/>
      <c r="N49" s="639"/>
    </row>
    <row r="50" spans="1:14" s="663" customFormat="1" ht="20.100000000000001" customHeight="1">
      <c r="A50" s="658" t="e">
        <f>L_CViec!#REF!</f>
        <v>#REF!</v>
      </c>
      <c r="B50" s="659" t="e">
        <f>L_CViec!#REF!</f>
        <v>#REF!</v>
      </c>
      <c r="C50" s="660" t="e">
        <f>L_CViec!#REF!</f>
        <v>#REF!</v>
      </c>
      <c r="D50" s="660" t="e">
        <f>L_CViec!#REF!</f>
        <v>#REF!</v>
      </c>
      <c r="E50" s="660" t="e">
        <f>L_CViec!#REF!</f>
        <v>#REF!</v>
      </c>
      <c r="F50" s="660" t="e">
        <f>L_CViec!#REF!</f>
        <v>#REF!</v>
      </c>
      <c r="G50" s="660" t="e">
        <f>L_CViec!#REF!</f>
        <v>#REF!</v>
      </c>
      <c r="H50" s="661" t="e">
        <f>L_CViec!#REF!</f>
        <v>#REF!</v>
      </c>
      <c r="I50" s="661" t="e">
        <f>G50*H50*L_CBac!$G$68</f>
        <v>#REF!</v>
      </c>
      <c r="J50" s="661" t="e">
        <f>$D50*$G50*L_CBac!$J$68</f>
        <v>#REF!</v>
      </c>
      <c r="K50" s="662" t="e">
        <f>$D50*$G50*L_CBac!$J$69</f>
        <v>#REF!</v>
      </c>
      <c r="M50" s="647"/>
      <c r="N50" s="639"/>
    </row>
    <row r="51" spans="1:14" s="552" customFormat="1" ht="15">
      <c r="A51" s="546" t="e">
        <f>L_CViec!#REF!</f>
        <v>#REF!</v>
      </c>
      <c r="B51" s="559" t="e">
        <f>L_CViec!#REF!</f>
        <v>#REF!</v>
      </c>
      <c r="C51" s="559" t="e">
        <f>L_CViec!#REF!</f>
        <v>#REF!</v>
      </c>
      <c r="D51" s="559" t="e">
        <f>L_CViec!#REF!</f>
        <v>#REF!</v>
      </c>
      <c r="E51" s="559" t="e">
        <f>L_CViec!#REF!</f>
        <v>#REF!</v>
      </c>
      <c r="F51" s="548" t="e">
        <f>L_CViec!#REF!</f>
        <v>#REF!</v>
      </c>
      <c r="G51" s="559" t="e">
        <f>L_CViec!#REF!</f>
        <v>#REF!</v>
      </c>
      <c r="H51" s="550" t="e">
        <f>L_CViec!#REF!</f>
        <v>#REF!</v>
      </c>
      <c r="I51" s="550"/>
      <c r="J51" s="550"/>
      <c r="K51" s="551"/>
      <c r="M51" s="647"/>
      <c r="N51" s="639"/>
    </row>
    <row r="52" spans="1:14" s="558" customFormat="1" ht="20.100000000000001" customHeight="1">
      <c r="A52" s="553" t="e">
        <f>L_CViec!#REF!</f>
        <v>#REF!</v>
      </c>
      <c r="B52" s="574" t="e">
        <f>L_CViec!#REF!</f>
        <v>#REF!</v>
      </c>
      <c r="C52" s="555" t="e">
        <f>L_CViec!#REF!</f>
        <v>#REF!</v>
      </c>
      <c r="D52" s="555" t="e">
        <f>L_CViec!#REF!</f>
        <v>#REF!</v>
      </c>
      <c r="E52" s="555" t="e">
        <f>L_CViec!#REF!</f>
        <v>#REF!</v>
      </c>
      <c r="F52" s="555" t="e">
        <f>L_CViec!#REF!</f>
        <v>#REF!</v>
      </c>
      <c r="G52" s="555" t="e">
        <f>L_CViec!#REF!</f>
        <v>#REF!</v>
      </c>
      <c r="H52" s="556" t="e">
        <f>L_CViec!#REF!</f>
        <v>#REF!</v>
      </c>
      <c r="I52" s="556" t="e">
        <f>G52*H52*L_CBac!$G$68</f>
        <v>#REF!</v>
      </c>
      <c r="J52" s="556" t="e">
        <f>$D52*$G52*L_CBac!$J$68</f>
        <v>#REF!</v>
      </c>
      <c r="K52" s="557" t="e">
        <f>$D52*$G52*L_CBac!$J$69</f>
        <v>#REF!</v>
      </c>
      <c r="M52" s="647"/>
      <c r="N52" s="639"/>
    </row>
    <row r="53" spans="1:14" s="558" customFormat="1" ht="20.100000000000001" customHeight="1">
      <c r="A53" s="553" t="e">
        <f>L_CViec!#REF!</f>
        <v>#REF!</v>
      </c>
      <c r="B53" s="574" t="e">
        <f>L_CViec!#REF!</f>
        <v>#REF!</v>
      </c>
      <c r="C53" s="555" t="e">
        <f>L_CViec!#REF!</f>
        <v>#REF!</v>
      </c>
      <c r="D53" s="555" t="e">
        <f>L_CViec!#REF!</f>
        <v>#REF!</v>
      </c>
      <c r="E53" s="555" t="e">
        <f>L_CViec!#REF!</f>
        <v>#REF!</v>
      </c>
      <c r="F53" s="555" t="e">
        <f>L_CViec!#REF!</f>
        <v>#REF!</v>
      </c>
      <c r="G53" s="555" t="e">
        <f>L_CViec!#REF!</f>
        <v>#REF!</v>
      </c>
      <c r="H53" s="556" t="e">
        <f>L_CViec!#REF!</f>
        <v>#REF!</v>
      </c>
      <c r="I53" s="556" t="e">
        <f>G53*H53*L_CBac!$G$68</f>
        <v>#REF!</v>
      </c>
      <c r="J53" s="556" t="e">
        <f>$D53*$G53*L_CBac!$J$68</f>
        <v>#REF!</v>
      </c>
      <c r="K53" s="557" t="e">
        <f>$D53*$G53*L_CBac!$J$69</f>
        <v>#REF!</v>
      </c>
      <c r="M53" s="647"/>
      <c r="N53" s="639"/>
    </row>
    <row r="54" spans="1:14" s="552" customFormat="1" ht="15">
      <c r="A54" s="546" t="e">
        <f>L_CViec!#REF!</f>
        <v>#REF!</v>
      </c>
      <c r="B54" s="559" t="e">
        <f>L_CViec!#REF!</f>
        <v>#REF!</v>
      </c>
      <c r="C54" s="548" t="e">
        <f>L_CViec!#REF!</f>
        <v>#REF!</v>
      </c>
      <c r="D54" s="548" t="e">
        <f>L_CViec!#REF!</f>
        <v>#REF!</v>
      </c>
      <c r="E54" s="548" t="e">
        <f>L_CViec!#REF!</f>
        <v>#REF!</v>
      </c>
      <c r="F54" s="548" t="e">
        <f>L_CViec!#REF!</f>
        <v>#REF!</v>
      </c>
      <c r="G54" s="548" t="e">
        <f>L_CViec!#REF!</f>
        <v>#REF!</v>
      </c>
      <c r="H54" s="550" t="e">
        <f>L_CViec!#REF!</f>
        <v>#REF!</v>
      </c>
      <c r="I54" s="550"/>
      <c r="J54" s="550"/>
      <c r="K54" s="551"/>
      <c r="M54" s="647"/>
      <c r="N54" s="639"/>
    </row>
    <row r="55" spans="1:14" s="558" customFormat="1" ht="15">
      <c r="A55" s="553" t="e">
        <f>L_CViec!#REF!</f>
        <v>#REF!</v>
      </c>
      <c r="B55" s="574" t="e">
        <f>L_CViec!#REF!</f>
        <v>#REF!</v>
      </c>
      <c r="C55" s="555" t="e">
        <f>L_CViec!#REF!</f>
        <v>#REF!</v>
      </c>
      <c r="D55" s="555" t="e">
        <f>L_CViec!#REF!</f>
        <v>#REF!</v>
      </c>
      <c r="E55" s="555" t="e">
        <f>L_CViec!#REF!</f>
        <v>#REF!</v>
      </c>
      <c r="F55" s="555" t="e">
        <f>L_CViec!#REF!</f>
        <v>#REF!</v>
      </c>
      <c r="G55" s="555" t="e">
        <f>L_CViec!#REF!</f>
        <v>#REF!</v>
      </c>
      <c r="H55" s="556" t="e">
        <f>L_CViec!#REF!</f>
        <v>#REF!</v>
      </c>
      <c r="I55" s="556" t="e">
        <f>G55*H55*L_CBac!$G$68</f>
        <v>#REF!</v>
      </c>
      <c r="J55" s="556" t="e">
        <f>$D55*$G55*L_CBac!$J$68</f>
        <v>#REF!</v>
      </c>
      <c r="K55" s="557" t="e">
        <f>$D55*$G55*L_CBac!$J$69</f>
        <v>#REF!</v>
      </c>
      <c r="M55" s="647"/>
      <c r="N55" s="639"/>
    </row>
    <row r="56" spans="1:14" s="558" customFormat="1" ht="15">
      <c r="A56" s="553" t="e">
        <f>L_CViec!#REF!</f>
        <v>#REF!</v>
      </c>
      <c r="B56" s="574" t="e">
        <f>L_CViec!#REF!</f>
        <v>#REF!</v>
      </c>
      <c r="C56" s="555" t="e">
        <f>L_CViec!#REF!</f>
        <v>#REF!</v>
      </c>
      <c r="D56" s="555" t="e">
        <f>L_CViec!#REF!</f>
        <v>#REF!</v>
      </c>
      <c r="E56" s="555" t="e">
        <f>L_CViec!#REF!</f>
        <v>#REF!</v>
      </c>
      <c r="F56" s="555" t="e">
        <f>L_CViec!#REF!</f>
        <v>#REF!</v>
      </c>
      <c r="G56" s="555" t="e">
        <f>L_CViec!#REF!</f>
        <v>#REF!</v>
      </c>
      <c r="H56" s="556" t="e">
        <f>L_CViec!#REF!</f>
        <v>#REF!</v>
      </c>
      <c r="I56" s="556" t="e">
        <f>G56*H56*L_CBac!$G$68</f>
        <v>#REF!</v>
      </c>
      <c r="J56" s="556" t="e">
        <f>$D56*$G56*L_CBac!$J$68</f>
        <v>#REF!</v>
      </c>
      <c r="K56" s="557" t="e">
        <f>$D56*$G56*L_CBac!$J$69</f>
        <v>#REF!</v>
      </c>
      <c r="M56" s="647"/>
      <c r="N56" s="639"/>
    </row>
    <row r="57" spans="1:14" s="552" customFormat="1" ht="15">
      <c r="A57" s="546" t="e">
        <f>L_CViec!#REF!</f>
        <v>#REF!</v>
      </c>
      <c r="B57" s="559" t="e">
        <f>L_CViec!#REF!</f>
        <v>#REF!</v>
      </c>
      <c r="C57" s="548" t="e">
        <f>L_CViec!#REF!</f>
        <v>#REF!</v>
      </c>
      <c r="D57" s="548" t="e">
        <f>L_CViec!#REF!</f>
        <v>#REF!</v>
      </c>
      <c r="E57" s="548" t="e">
        <f>L_CViec!#REF!</f>
        <v>#REF!</v>
      </c>
      <c r="F57" s="548" t="e">
        <f>L_CViec!#REF!</f>
        <v>#REF!</v>
      </c>
      <c r="G57" s="548" t="e">
        <f>L_CViec!#REF!</f>
        <v>#REF!</v>
      </c>
      <c r="H57" s="550" t="e">
        <f>L_CViec!#REF!</f>
        <v>#REF!</v>
      </c>
      <c r="I57" s="550" t="e">
        <f>G57*H57*L_CBac!$G$68</f>
        <v>#REF!</v>
      </c>
      <c r="J57" s="550" t="e">
        <f>$D57*$G57*L_CBac!$J$68</f>
        <v>#REF!</v>
      </c>
      <c r="K57" s="551" t="e">
        <f>$D57*$G57*L_CBac!$J$69</f>
        <v>#REF!</v>
      </c>
      <c r="M57" s="647"/>
      <c r="N57" s="639"/>
    </row>
    <row r="58" spans="1:14" s="669" customFormat="1" ht="20.100000000000001" customHeight="1">
      <c r="A58" s="664" t="str">
        <f>L_CViec!A62</f>
        <v>21</v>
      </c>
      <c r="B58" s="665" t="str">
        <f>L_CViec!B62</f>
        <v>Chuẩn bị hợp đồng cho thuê đất (nếu có)</v>
      </c>
      <c r="C58" s="666" t="str">
        <f>L_CViec!AB62</f>
        <v>Hồ sơ</v>
      </c>
      <c r="D58" s="666">
        <f>L_CViec!AA62</f>
        <v>1</v>
      </c>
      <c r="E58" s="666" t="str">
        <f>L_CViec!AC62</f>
        <v>1KS3</v>
      </c>
      <c r="F58" s="666" t="str">
        <f>L_CViec!AD62</f>
        <v>1-3</v>
      </c>
      <c r="G58" s="666">
        <f>L_CViec!AE62</f>
        <v>0.2</v>
      </c>
      <c r="H58" s="667">
        <f>L_CViec!AF62</f>
        <v>333450</v>
      </c>
      <c r="I58" s="667">
        <f>G58*H58*L_CBac!$G$68</f>
        <v>76693.5</v>
      </c>
      <c r="J58" s="667">
        <f>$D58*$G58*L_CBac!$J$68</f>
        <v>5112.9000000000005</v>
      </c>
      <c r="K58" s="668">
        <f>$D58*$G58*L_CBac!$J$69</f>
        <v>5615.3846153846162</v>
      </c>
      <c r="M58" s="647"/>
      <c r="N58" s="639"/>
    </row>
    <row r="59" spans="1:14" s="552" customFormat="1" ht="20.100000000000001" customHeight="1">
      <c r="A59" s="546" t="str">
        <f>L_CViec!A63</f>
        <v>22</v>
      </c>
      <c r="B59" s="559" t="str">
        <f>L_CViec!B63</f>
        <v>In GCN</v>
      </c>
      <c r="C59" s="548">
        <f>L_CViec!AB63</f>
        <v>0</v>
      </c>
      <c r="D59" s="548">
        <f>L_CViec!AA63</f>
        <v>0</v>
      </c>
      <c r="E59" s="548">
        <f>L_CViec!AC63</f>
        <v>0</v>
      </c>
      <c r="F59" s="548">
        <f>L_CViec!AD63</f>
        <v>0</v>
      </c>
      <c r="G59" s="548">
        <f>L_CViec!AE63</f>
        <v>0</v>
      </c>
      <c r="H59" s="550"/>
      <c r="I59" s="550"/>
      <c r="J59" s="550"/>
      <c r="K59" s="551"/>
      <c r="M59" s="647"/>
      <c r="N59" s="639"/>
    </row>
    <row r="60" spans="1:14" s="558" customFormat="1" ht="20.100000000000001" customHeight="1">
      <c r="A60" s="553" t="str">
        <f>L_CViec!A64</f>
        <v>22.1</v>
      </c>
      <c r="B60" s="574" t="str">
        <f>L_CViec!B64</f>
        <v>Trực tiếp từ cơ sở dữ liệu dạng số</v>
      </c>
      <c r="C60" s="555" t="str">
        <f>L_CViec!AB64</f>
        <v>GCN</v>
      </c>
      <c r="D60" s="555">
        <f>L_CViec!AA64</f>
        <v>1</v>
      </c>
      <c r="E60" s="555" t="str">
        <f>L_CViec!AC64</f>
        <v>1KS2</v>
      </c>
      <c r="F60" s="555" t="str">
        <f>L_CViec!AD64</f>
        <v>1-3</v>
      </c>
      <c r="G60" s="555">
        <f>L_CViec!AE64</f>
        <v>0.05</v>
      </c>
      <c r="H60" s="556">
        <f>L_CViec!AF64</f>
        <v>296770.5</v>
      </c>
      <c r="I60" s="556">
        <f>G60*H60*L_CBac!$G$68</f>
        <v>17064.303749999999</v>
      </c>
      <c r="J60" s="556">
        <f>$D60*$G60*L_CBac!$J$68</f>
        <v>1278.2250000000001</v>
      </c>
      <c r="K60" s="557">
        <f>$D60*$G60*L_CBac!$J$69</f>
        <v>1403.846153846154</v>
      </c>
      <c r="M60" s="647"/>
      <c r="N60" s="639"/>
    </row>
    <row r="61" spans="1:14" s="558" customFormat="1" ht="20.100000000000001" customHeight="1">
      <c r="A61" s="553" t="str">
        <f>L_CViec!A65</f>
        <v>22.2</v>
      </c>
      <c r="B61" s="574" t="str">
        <f>L_CViec!B65</f>
        <v>Đối với những nơi chưa có bản đồ dạng số</v>
      </c>
      <c r="C61" s="555" t="str">
        <f>L_CViec!AB65</f>
        <v>GCN</v>
      </c>
      <c r="D61" s="555">
        <f>L_CViec!AA65</f>
        <v>1</v>
      </c>
      <c r="E61" s="555" t="str">
        <f>L_CViec!AC65</f>
        <v>1KS2</v>
      </c>
      <c r="F61" s="555" t="str">
        <f>L_CViec!AD65</f>
        <v>1-3</v>
      </c>
      <c r="G61" s="555">
        <f>L_CViec!AE65</f>
        <v>0.1</v>
      </c>
      <c r="H61" s="556">
        <f>L_CViec!AF65</f>
        <v>296770.5</v>
      </c>
      <c r="I61" s="556">
        <f>G61*H61*L_CBac!$G$68</f>
        <v>34128.607499999998</v>
      </c>
      <c r="J61" s="556">
        <f>$D61*$G61*L_CBac!$J$68</f>
        <v>2556.4500000000003</v>
      </c>
      <c r="K61" s="557">
        <f>$D61*$G61*L_CBac!$J$69</f>
        <v>2807.6923076923081</v>
      </c>
      <c r="M61" s="647"/>
      <c r="N61" s="639"/>
    </row>
    <row r="62" spans="1:14" s="552" customFormat="1" ht="15">
      <c r="A62" s="546" t="str">
        <f>L_CViec!A66</f>
        <v>23</v>
      </c>
      <c r="B62" s="559" t="str">
        <f>L_CViec!B66</f>
        <v>Cấp Giấy chứng nhận</v>
      </c>
      <c r="C62" s="548" t="str">
        <f>L_CViec!AB66</f>
        <v>Hồ sơ</v>
      </c>
      <c r="D62" s="548">
        <f>L_CViec!AA66</f>
        <v>1</v>
      </c>
      <c r="E62" s="548" t="str">
        <f>L_CViec!AC66</f>
        <v>1KS3</v>
      </c>
      <c r="F62" s="548" t="str">
        <f>L_CViec!AD66</f>
        <v>1-3</v>
      </c>
      <c r="G62" s="548">
        <f>L_CViec!AE66</f>
        <v>0.05</v>
      </c>
      <c r="H62" s="550">
        <f>L_CViec!AF66</f>
        <v>333450</v>
      </c>
      <c r="I62" s="550">
        <f>G62*H62*L_CBac!$G$68</f>
        <v>19173.375</v>
      </c>
      <c r="J62" s="550">
        <f>$D62*$G62*L_CBac!$J$68</f>
        <v>1278.2250000000001</v>
      </c>
      <c r="K62" s="551">
        <f>$D62*$G62*L_CBac!$J$69</f>
        <v>1403.846153846154</v>
      </c>
      <c r="M62" s="647"/>
      <c r="N62" s="639"/>
    </row>
    <row r="63" spans="1:14" s="552" customFormat="1" ht="15">
      <c r="A63" s="546" t="str">
        <f>L_CViec!A67</f>
        <v>24</v>
      </c>
      <c r="B63" s="559" t="str">
        <f>L_CViec!B67</f>
        <v>Nhập bổ sung thông tin dữ liệu về Giấy chứng nhận đã cấp</v>
      </c>
      <c r="C63" s="548" t="str">
        <f>L_CViec!AB67</f>
        <v>Thửa</v>
      </c>
      <c r="D63" s="548">
        <f>L_CViec!AA67</f>
        <v>1</v>
      </c>
      <c r="E63" s="548" t="str">
        <f>L_CViec!AC67</f>
        <v>1KS3</v>
      </c>
      <c r="F63" s="548" t="str">
        <f>L_CViec!AD67</f>
        <v>1-3</v>
      </c>
      <c r="G63" s="548">
        <f>L_CViec!AE67</f>
        <v>3.3000000000000002E-2</v>
      </c>
      <c r="H63" s="550">
        <f>L_CViec!AF67</f>
        <v>333450</v>
      </c>
      <c r="I63" s="550">
        <f>G63*H63*L_CBac!$G$68</f>
        <v>12654.4275</v>
      </c>
      <c r="J63" s="550">
        <f>$D63*$G63*L_CBac!$J$68</f>
        <v>843.62850000000003</v>
      </c>
      <c r="K63" s="551">
        <f>$D63*$G63*L_CBac!$J$69</f>
        <v>926.53846153846166</v>
      </c>
      <c r="M63" s="647"/>
      <c r="N63" s="639"/>
    </row>
    <row r="64" spans="1:14" s="552" customFormat="1" ht="20.100000000000001" customHeight="1">
      <c r="A64" s="546" t="e">
        <f>L_CViec!#REF!</f>
        <v>#REF!</v>
      </c>
      <c r="B64" s="559" t="e">
        <f>L_CViec!#REF!</f>
        <v>#REF!</v>
      </c>
      <c r="C64" s="548" t="e">
        <f>L_CViec!#REF!</f>
        <v>#REF!</v>
      </c>
      <c r="D64" s="548" t="e">
        <f>L_CViec!#REF!</f>
        <v>#REF!</v>
      </c>
      <c r="E64" s="548" t="e">
        <f>L_CViec!#REF!</f>
        <v>#REF!</v>
      </c>
      <c r="F64" s="548" t="e">
        <f>L_CViec!#REF!</f>
        <v>#REF!</v>
      </c>
      <c r="G64" s="548" t="e">
        <f>L_CViec!#REF!</f>
        <v>#REF!</v>
      </c>
      <c r="H64" s="550" t="e">
        <f>L_CViec!#REF!</f>
        <v>#REF!</v>
      </c>
      <c r="I64" s="550" t="e">
        <f>G64*H64*L_CBac!$G$68</f>
        <v>#REF!</v>
      </c>
      <c r="J64" s="550" t="e">
        <f>$D64*$G64*L_CBac!$J$68</f>
        <v>#REF!</v>
      </c>
      <c r="K64" s="551" t="e">
        <f>$D64*$G64*L_CBac!$J$69</f>
        <v>#REF!</v>
      </c>
      <c r="M64" s="647"/>
      <c r="N64" s="639"/>
    </row>
    <row r="65" spans="1:14" s="552" customFormat="1" ht="20.100000000000001" customHeight="1">
      <c r="A65" s="546" t="str">
        <f>L_CViec!A68</f>
        <v>25</v>
      </c>
      <c r="B65" s="559" t="str">
        <f>L_CViec!B68</f>
        <v>Quét giấy tờ pháp lý và xử lý tập tin</v>
      </c>
      <c r="C65" s="548">
        <f>L_CViec!AB68</f>
        <v>0</v>
      </c>
      <c r="D65" s="548">
        <f>L_CViec!AA68</f>
        <v>0</v>
      </c>
      <c r="E65" s="548">
        <f>L_CViec!AC68</f>
        <v>0</v>
      </c>
      <c r="F65" s="548">
        <f>L_CViec!AD68</f>
        <v>0</v>
      </c>
      <c r="G65" s="548">
        <f>L_CViec!AE68</f>
        <v>0</v>
      </c>
      <c r="H65" s="550">
        <f>L_CViec!AF68</f>
        <v>0</v>
      </c>
      <c r="I65" s="550">
        <f>SUM(I66,I69,I70,)</f>
        <v>25722.999899999999</v>
      </c>
      <c r="J65" s="550">
        <f>$D65*$G65*L_CBac!$J$68</f>
        <v>0</v>
      </c>
      <c r="K65" s="551">
        <f>$D65*$G65*L_CBac!$J$69</f>
        <v>0</v>
      </c>
      <c r="M65" s="647"/>
      <c r="N65" s="639"/>
    </row>
    <row r="66" spans="1:14" s="558" customFormat="1" ht="30">
      <c r="A66" s="553" t="str">
        <f>L_CViec!A69</f>
        <v>25.1</v>
      </c>
      <c r="B66" s="574" t="str">
        <f>L_CViec!B69</f>
        <v>Quét giấy tờ pháp lý về quyền sử dụng đất, quyền sở hữu nhà ở và tài sản khác gắn liền với đất</v>
      </c>
      <c r="C66" s="555">
        <f>L_CViec!AB69</f>
        <v>0</v>
      </c>
      <c r="D66" s="555">
        <f>L_CViec!AA69</f>
        <v>0</v>
      </c>
      <c r="E66" s="555">
        <f>L_CViec!AC69</f>
        <v>0</v>
      </c>
      <c r="F66" s="555">
        <f>L_CViec!AD69</f>
        <v>0</v>
      </c>
      <c r="G66" s="574">
        <f>L_CViec!AE69</f>
        <v>0</v>
      </c>
      <c r="H66" s="556">
        <f>L_CViec!AF69</f>
        <v>0</v>
      </c>
      <c r="I66" s="556">
        <f>SUM(I67:I68)</f>
        <v>16749.860399999998</v>
      </c>
      <c r="J66" s="556">
        <f>$D66*$G66*L_CBac!$J$68</f>
        <v>0</v>
      </c>
      <c r="K66" s="557">
        <f>$D66*$G66*L_CBac!$J$69</f>
        <v>0</v>
      </c>
      <c r="M66" s="647"/>
      <c r="N66" s="639"/>
    </row>
    <row r="67" spans="1:14" s="558" customFormat="1" ht="20.100000000000001" customHeight="1">
      <c r="A67" s="553" t="str">
        <f>L_CViec!A70</f>
        <v>25.1.1</v>
      </c>
      <c r="B67" s="574" t="str">
        <f>L_CViec!B70</f>
        <v>Quét trang A3</v>
      </c>
      <c r="C67" s="555" t="str">
        <f>L_CViec!AB70</f>
        <v>Trang</v>
      </c>
      <c r="D67" s="555">
        <f>L_CViec!AA70</f>
        <v>1</v>
      </c>
      <c r="E67" s="555" t="str">
        <f>L_CViec!AC70</f>
        <v>1KS1</v>
      </c>
      <c r="F67" s="555" t="str">
        <f>L_CViec!AD70</f>
        <v>1-3</v>
      </c>
      <c r="G67" s="555">
        <f>L_CViec!AE70</f>
        <v>1.6E-2</v>
      </c>
      <c r="H67" s="556">
        <f>L_CViec!AF70</f>
        <v>260091</v>
      </c>
      <c r="I67" s="556">
        <f>G67*H67*L_CBac!$G$68*2</f>
        <v>9571.3487999999998</v>
      </c>
      <c r="J67" s="556">
        <f>$D67*$G67*L_CBac!$J$68</f>
        <v>409.03199999999998</v>
      </c>
      <c r="K67" s="557">
        <f>$D67*$G67*L_CBac!$J$69</f>
        <v>449.23076923076928</v>
      </c>
      <c r="M67" s="647"/>
      <c r="N67" s="639"/>
    </row>
    <row r="68" spans="1:14" s="558" customFormat="1" ht="20.100000000000001" customHeight="1">
      <c r="A68" s="553" t="str">
        <f>L_CViec!A71</f>
        <v>25.1.2</v>
      </c>
      <c r="B68" s="670" t="str">
        <f>L_CViec!B71</f>
        <v>Quét trang A4</v>
      </c>
      <c r="C68" s="555" t="str">
        <f>L_CViec!AB71</f>
        <v>Trang</v>
      </c>
      <c r="D68" s="555">
        <f>L_CViec!AA71</f>
        <v>1</v>
      </c>
      <c r="E68" s="555" t="str">
        <f>L_CViec!AC71</f>
        <v>1KS1</v>
      </c>
      <c r="F68" s="555" t="str">
        <f>L_CViec!AD71</f>
        <v>1-3</v>
      </c>
      <c r="G68" s="555">
        <f>L_CViec!AE71</f>
        <v>8.0000000000000002E-3</v>
      </c>
      <c r="H68" s="556">
        <f>L_CViec!AF71</f>
        <v>260091</v>
      </c>
      <c r="I68" s="556">
        <f>G68*H68*L_CBac!$G$68*3</f>
        <v>7178.5115999999998</v>
      </c>
      <c r="J68" s="556">
        <f>$D68*$G68*L_CBac!$J$68</f>
        <v>204.51599999999999</v>
      </c>
      <c r="K68" s="557">
        <f>$D68*$G68*L_CBac!$J$69</f>
        <v>224.61538461538464</v>
      </c>
      <c r="M68" s="647"/>
      <c r="N68" s="639"/>
    </row>
    <row r="69" spans="1:14" s="558" customFormat="1" ht="30">
      <c r="A69" s="553" t="str">
        <f>L_CViec!A72</f>
        <v>26</v>
      </c>
      <c r="B69" s="574" t="str">
        <f>L_CViec!B72</f>
        <v>Xử lý các tệp tin quét thành tệp (File) hồ sơ quét dạng số của thửa đất, lưu trữ dưới khuôn dạng tệp tin PDF</v>
      </c>
      <c r="C69" s="555" t="str">
        <f>L_CViec!AB72</f>
        <v>Trang</v>
      </c>
      <c r="D69" s="555">
        <f>L_CViec!AA72</f>
        <v>1</v>
      </c>
      <c r="E69" s="555" t="str">
        <f>L_CViec!AC72</f>
        <v>1KS1</v>
      </c>
      <c r="F69" s="555" t="str">
        <f>L_CViec!AD72</f>
        <v>1-3</v>
      </c>
      <c r="G69" s="555">
        <f>L_CViec!AE72</f>
        <v>4.0000000000000001E-3</v>
      </c>
      <c r="H69" s="556">
        <f>L_CViec!AF72</f>
        <v>260091</v>
      </c>
      <c r="I69" s="556">
        <f>G69*H69*L_CBac!$G$68*5</f>
        <v>5982.0929999999998</v>
      </c>
      <c r="J69" s="556">
        <f>$D69*$G69*L_CBac!$J$68</f>
        <v>102.258</v>
      </c>
      <c r="K69" s="557">
        <f>$D69*$G69*L_CBac!$J$69</f>
        <v>112.30769230769232</v>
      </c>
      <c r="M69" s="647"/>
      <c r="N69" s="639"/>
    </row>
    <row r="70" spans="1:14" s="558" customFormat="1" ht="30">
      <c r="A70" s="553" t="str">
        <f>L_CViec!A73</f>
        <v>27</v>
      </c>
      <c r="B70" s="670" t="str">
        <f>L_CViec!B73</f>
        <v>Tạo liên kết hồ sơ quét dạng số với thửa đất trong cơ sở dữ liệu</v>
      </c>
      <c r="C70" s="555" t="str">
        <f>L_CViec!AB73</f>
        <v>Thửa</v>
      </c>
      <c r="D70" s="555">
        <f>L_CViec!AA73</f>
        <v>1</v>
      </c>
      <c r="E70" s="555" t="str">
        <f>L_CViec!AC73</f>
        <v>1KS1</v>
      </c>
      <c r="F70" s="555" t="str">
        <f>L_CViec!AD73</f>
        <v>1-3</v>
      </c>
      <c r="G70" s="555">
        <f>L_CViec!AE73</f>
        <v>0.01</v>
      </c>
      <c r="H70" s="556">
        <f>L_CViec!AF73</f>
        <v>260091</v>
      </c>
      <c r="I70" s="556">
        <f>G70*H70*L_CBac!$G$68</f>
        <v>2991.0464999999995</v>
      </c>
      <c r="J70" s="556">
        <f>$D70*$G70*L_CBac!$J$68</f>
        <v>255.64500000000001</v>
      </c>
      <c r="K70" s="557">
        <f>$D70*$G70*L_CBac!$J$69</f>
        <v>280.76923076923077</v>
      </c>
      <c r="M70" s="647"/>
      <c r="N70" s="639"/>
    </row>
    <row r="71" spans="1:14" s="552" customFormat="1" ht="15">
      <c r="A71" s="546" t="e">
        <f>L_CViec!#REF!</f>
        <v>#REF!</v>
      </c>
      <c r="B71" s="573" t="e">
        <f>L_CViec!#REF!</f>
        <v>#REF!</v>
      </c>
      <c r="C71" s="548" t="e">
        <f>L_CViec!#REF!</f>
        <v>#REF!</v>
      </c>
      <c r="D71" s="548" t="e">
        <f>L_CViec!#REF!</f>
        <v>#REF!</v>
      </c>
      <c r="E71" s="548" t="e">
        <f>L_CViec!#REF!</f>
        <v>#REF!</v>
      </c>
      <c r="F71" s="548" t="e">
        <f>L_CViec!#REF!</f>
        <v>#REF!</v>
      </c>
      <c r="G71" s="548" t="e">
        <f>L_CViec!#REF!</f>
        <v>#REF!</v>
      </c>
      <c r="H71" s="550" t="e">
        <f>L_CViec!#REF!</f>
        <v>#REF!</v>
      </c>
      <c r="I71" s="550" t="e">
        <f>G71*H71*L_CBac!$G$68</f>
        <v>#REF!</v>
      </c>
      <c r="J71" s="550" t="e">
        <f>$D71*$G71*L_CBac!$J$68</f>
        <v>#REF!</v>
      </c>
      <c r="K71" s="551" t="e">
        <f>$D71*$G71*L_CBac!$J$69</f>
        <v>#REF!</v>
      </c>
      <c r="M71" s="647"/>
      <c r="N71" s="639"/>
    </row>
    <row r="72" spans="1:14" s="638" customFormat="1" ht="45">
      <c r="A72" s="632" t="str">
        <f>L_CViec!A76</f>
        <v>30</v>
      </c>
      <c r="B72" s="671" t="str">
        <f>L_CViec!B76</f>
        <v>Nhận hồ sơ địa chính từ cấp tỉnh gửi về (01 bộ)</v>
      </c>
      <c r="C72" s="634" t="str">
        <f>L_CViec!AB76</f>
        <v>Bộ/xã, phường</v>
      </c>
      <c r="D72" s="634">
        <f>L_CViec!AA76</f>
        <v>1</v>
      </c>
      <c r="E72" s="634" t="str">
        <f>L_CViec!AC76</f>
        <v>1KS2</v>
      </c>
      <c r="F72" s="634" t="str">
        <f>L_CViec!AD76</f>
        <v>1-3</v>
      </c>
      <c r="G72" s="634">
        <f>L_CViec!AE76</f>
        <v>32</v>
      </c>
      <c r="H72" s="636">
        <f>L_CViec!AF76</f>
        <v>296770.5</v>
      </c>
      <c r="I72" s="636">
        <f>G72*H72*L_CBac!$G$68/8000</f>
        <v>1365.1442999999997</v>
      </c>
      <c r="J72" s="636">
        <f>$D72*$G72*L_CBac!$J$68/8000</f>
        <v>102.258</v>
      </c>
      <c r="K72" s="637">
        <f>$D72*$G72*L_CBac!$J$69/8000</f>
        <v>112.30769230769231</v>
      </c>
      <c r="M72" s="647"/>
      <c r="N72" s="639"/>
    </row>
    <row r="73" spans="1:14" s="534" customFormat="1" ht="26.45" customHeight="1">
      <c r="A73" s="650" t="str">
        <f>L_CViec!A77</f>
        <v>I.2</v>
      </c>
      <c r="B73" s="1750" t="str">
        <f>L_CViec!B77</f>
        <v>CÁC NỘI DUNG THỰC HIỆN TẠI ĐỊA BÀN CẤP TỈNH</v>
      </c>
      <c r="C73" s="1752"/>
      <c r="D73" s="672">
        <f>L_CViec!AA77</f>
        <v>0</v>
      </c>
      <c r="E73" s="629">
        <f>L_CViec!AC77</f>
        <v>0</v>
      </c>
      <c r="F73" s="629">
        <f>L_CViec!AD77</f>
        <v>0</v>
      </c>
      <c r="G73" s="629">
        <f>L_CViec!AE77</f>
        <v>0</v>
      </c>
      <c r="H73" s="630">
        <f>L_CViec!AF77</f>
        <v>0</v>
      </c>
      <c r="I73" s="537">
        <f>SUM(I74,I77,I80)</f>
        <v>72945.584521874989</v>
      </c>
      <c r="J73" s="537">
        <f>SUM(J74,J77,J80)</f>
        <v>4192.5780000000004</v>
      </c>
      <c r="K73" s="538">
        <f>SUM(K74,K77,K80)</f>
        <v>4604.6153846153848</v>
      </c>
      <c r="M73" s="647"/>
      <c r="N73" s="639"/>
    </row>
    <row r="74" spans="1:14" s="552" customFormat="1" ht="15">
      <c r="A74" s="546" t="str">
        <f>L_CViec!A78</f>
        <v>1</v>
      </c>
      <c r="B74" s="573" t="str">
        <f>L_CViec!B78</f>
        <v>Lập hồ sơ địa chính</v>
      </c>
      <c r="C74" s="548">
        <f>L_CViec!AB78</f>
        <v>0</v>
      </c>
      <c r="D74" s="548">
        <f>L_CViec!AA78</f>
        <v>0</v>
      </c>
      <c r="E74" s="548">
        <f>L_CViec!AC78</f>
        <v>0</v>
      </c>
      <c r="F74" s="548">
        <f>L_CViec!AD78</f>
        <v>0</v>
      </c>
      <c r="G74" s="548">
        <f>L_CViec!AE78</f>
        <v>0</v>
      </c>
      <c r="H74" s="550">
        <f>L_CViec!AF78</f>
        <v>0</v>
      </c>
      <c r="I74" s="550">
        <f>SUM(I75:I76)</f>
        <v>68103.827999999994</v>
      </c>
      <c r="J74" s="550">
        <f>SUM(J75:J76)</f>
        <v>4090.32</v>
      </c>
      <c r="K74" s="551">
        <f>SUM(K75:K76)</f>
        <v>4492.3076923076924</v>
      </c>
      <c r="M74" s="647"/>
      <c r="N74" s="639"/>
    </row>
    <row r="75" spans="1:14" s="646" customFormat="1" ht="30">
      <c r="A75" s="640" t="str">
        <f>L_CViec!A79</f>
        <v>1.1</v>
      </c>
      <c r="B75" s="673" t="str">
        <f>L_CViec!B79</f>
        <v>Hoàn thiện BĐĐC và Sổ mục kê đất đai theo kết quả đăng ký, cấp GCN</v>
      </c>
      <c r="C75" s="642" t="str">
        <f>L_CViec!AB79</f>
        <v>Bộ/đĩa</v>
      </c>
      <c r="D75" s="642">
        <f>L_CViec!AA79</f>
        <v>1</v>
      </c>
      <c r="E75" s="642" t="str">
        <f>L_CViec!AC79</f>
        <v>1KS4</v>
      </c>
      <c r="F75" s="642" t="str">
        <f>L_CViec!AD79</f>
        <v>1-3</v>
      </c>
      <c r="G75" s="642">
        <f>L_CViec!AE79</f>
        <v>1200</v>
      </c>
      <c r="H75" s="644">
        <f>L_CViec!AF79</f>
        <v>370129.5</v>
      </c>
      <c r="I75" s="644">
        <f>G75*H75*L_CBac!$G$68/8000</f>
        <v>63847.338749999995</v>
      </c>
      <c r="J75" s="636">
        <f>$D75*$G75*L_CBac!$J$68/8000</f>
        <v>3834.6750000000002</v>
      </c>
      <c r="K75" s="637">
        <f>$D75*$G75*L_CBac!$J$69/8000</f>
        <v>4211.5384615384619</v>
      </c>
      <c r="M75" s="647"/>
      <c r="N75" s="639"/>
    </row>
    <row r="76" spans="1:14" s="558" customFormat="1" ht="15">
      <c r="A76" s="553" t="str">
        <f>L_CViec!A80</f>
        <v>1.2</v>
      </c>
      <c r="B76" s="670" t="str">
        <f>L_CViec!B80</f>
        <v>Lập, cập nhật hoàn thiện Sổ địa chính điện tử</v>
      </c>
      <c r="C76" s="555" t="str">
        <f>L_CViec!AB80</f>
        <v>Thửa</v>
      </c>
      <c r="D76" s="555">
        <f>L_CViec!AA80</f>
        <v>1</v>
      </c>
      <c r="E76" s="555" t="str">
        <f>L_CViec!AC80</f>
        <v>1KS4</v>
      </c>
      <c r="F76" s="555" t="str">
        <f>L_CViec!AD80</f>
        <v>1-3</v>
      </c>
      <c r="G76" s="555">
        <f>L_CViec!AE80</f>
        <v>0.01</v>
      </c>
      <c r="H76" s="556">
        <f>L_CViec!AF80</f>
        <v>370129.5</v>
      </c>
      <c r="I76" s="556">
        <f>G76*H76*L_CBac!$G$68</f>
        <v>4256.4892499999996</v>
      </c>
      <c r="J76" s="556">
        <f>$D76*$G76*L_CBac!$J$68</f>
        <v>255.64500000000001</v>
      </c>
      <c r="K76" s="557">
        <f>$D76*$G76*L_CBac!$J$69</f>
        <v>280.76923076923077</v>
      </c>
      <c r="M76" s="647"/>
      <c r="N76" s="639"/>
    </row>
    <row r="77" spans="1:14" s="552" customFormat="1" ht="30">
      <c r="A77" s="546" t="str">
        <f>L_CViec!A81</f>
        <v>2</v>
      </c>
      <c r="B77" s="573" t="str">
        <f>L_CViec!B81</f>
        <v>Sao, in ấn hồ sơ địa chính để cung cấp cho cấp xã quản lý và khai thác sử dụng</v>
      </c>
      <c r="C77" s="548">
        <f>L_CViec!AB81</f>
        <v>0</v>
      </c>
      <c r="D77" s="548">
        <f>L_CViec!AA81</f>
        <v>0</v>
      </c>
      <c r="E77" s="548">
        <f>L_CViec!AC81</f>
        <v>0</v>
      </c>
      <c r="F77" s="548">
        <f>L_CViec!AD81</f>
        <v>0</v>
      </c>
      <c r="G77" s="548">
        <f>L_CViec!AE81</f>
        <v>0</v>
      </c>
      <c r="H77" s="550">
        <f>L_CViec!AF81</f>
        <v>0</v>
      </c>
      <c r="I77" s="550">
        <f>SUM(I78:I79)</f>
        <v>1436.5651218749999</v>
      </c>
      <c r="J77" s="550">
        <f>$D77*$G77*L_CBac!$J$68</f>
        <v>0</v>
      </c>
      <c r="K77" s="551">
        <f>$D77*$G77*L_CBac!$J$69</f>
        <v>0</v>
      </c>
      <c r="M77" s="647"/>
      <c r="N77" s="639"/>
    </row>
    <row r="78" spans="1:14" s="646" customFormat="1" ht="15">
      <c r="A78" s="640" t="str">
        <f>L_CViec!A82</f>
        <v>2.1</v>
      </c>
      <c r="B78" s="673" t="str">
        <f>L_CViec!B82</f>
        <v>Bản đồ địa chính</v>
      </c>
      <c r="C78" s="642" t="str">
        <f>L_CViec!AB82</f>
        <v>Tờ</v>
      </c>
      <c r="D78" s="642">
        <f>L_CViec!AA82</f>
        <v>1</v>
      </c>
      <c r="E78" s="642" t="str">
        <f>L_CViec!AC82</f>
        <v>1KS4</v>
      </c>
      <c r="F78" s="642" t="str">
        <f>L_CViec!AD82</f>
        <v>1-3</v>
      </c>
      <c r="G78" s="642">
        <f>L_CViec!AE82</f>
        <v>2.5000000000000001E-2</v>
      </c>
      <c r="H78" s="644">
        <f>L_CViec!AF82</f>
        <v>370129.5</v>
      </c>
      <c r="I78" s="644">
        <f>G78*H78*L_CBac!$G$68/8000*60*2</f>
        <v>159.61834687499999</v>
      </c>
      <c r="J78" s="636">
        <f>$D78*$G78*L_CBac!$J$68/8000*60</f>
        <v>4.7933437500000009</v>
      </c>
      <c r="K78" s="637">
        <f>$D78*$G78*L_CBac!$J$69/8000*60</f>
        <v>5.2644230769230775</v>
      </c>
      <c r="M78" s="647"/>
      <c r="N78" s="639"/>
    </row>
    <row r="79" spans="1:14" s="646" customFormat="1" ht="15">
      <c r="A79" s="640" t="str">
        <f>L_CViec!A83</f>
        <v>2.2</v>
      </c>
      <c r="B79" s="641" t="str">
        <f>L_CViec!B83</f>
        <v>Sao Sổ địa chính, Sổ mục kê đất đai</v>
      </c>
      <c r="C79" s="642" t="str">
        <f>L_CViec!AB83</f>
        <v>Bộ/đĩa</v>
      </c>
      <c r="D79" s="642">
        <f>L_CViec!AA83</f>
        <v>1</v>
      </c>
      <c r="E79" s="642" t="str">
        <f>L_CViec!AC83</f>
        <v>1KS4</v>
      </c>
      <c r="F79" s="642" t="str">
        <f>L_CViec!AD83</f>
        <v>1-3</v>
      </c>
      <c r="G79" s="642">
        <f>L_CViec!AE83</f>
        <v>8</v>
      </c>
      <c r="H79" s="644">
        <f>L_CViec!AF83</f>
        <v>370129.5</v>
      </c>
      <c r="I79" s="644">
        <f>G79*H79*L_CBac!$G$68/8000*3</f>
        <v>1276.9467749999999</v>
      </c>
      <c r="J79" s="636">
        <f>$D79*$G79*L_CBac!$J$68/8000</f>
        <v>25.564499999999999</v>
      </c>
      <c r="K79" s="637">
        <f>$D79*$G79*L_CBac!$J$69/8000</f>
        <v>28.076923076923077</v>
      </c>
      <c r="M79" s="647"/>
      <c r="N79" s="639"/>
    </row>
    <row r="80" spans="1:14" s="638" customFormat="1" ht="45">
      <c r="A80" s="632" t="str">
        <f>L_CViec!A84</f>
        <v>3</v>
      </c>
      <c r="B80" s="633" t="str">
        <f>L_CViec!B84</f>
        <v>Bàn giao HSĐC cho cấp xã để quản lý và khai thác sử dụng</v>
      </c>
      <c r="C80" s="634" t="str">
        <f>L_CViec!AB84</f>
        <v>Bộ/xã, phường</v>
      </c>
      <c r="D80" s="634">
        <f>L_CViec!AA84</f>
        <v>1</v>
      </c>
      <c r="E80" s="634" t="str">
        <f>L_CViec!AC84</f>
        <v>1KS4</v>
      </c>
      <c r="F80" s="634" t="str">
        <f>L_CViec!AD84</f>
        <v>1-3</v>
      </c>
      <c r="G80" s="634">
        <f>L_CViec!AE84</f>
        <v>32</v>
      </c>
      <c r="H80" s="636">
        <f>L_CViec!AF84</f>
        <v>370129.5</v>
      </c>
      <c r="I80" s="636">
        <f>G80*H80*L_CBac!$G$68/8000*2</f>
        <v>3405.1913999999997</v>
      </c>
      <c r="J80" s="636">
        <f>$D80*$G80*L_CBac!$J$68/8000</f>
        <v>102.258</v>
      </c>
      <c r="K80" s="637">
        <f>$D80*$G80*L_CBac!$J$69/8000</f>
        <v>112.30769230769231</v>
      </c>
      <c r="M80" s="647"/>
      <c r="N80" s="639"/>
    </row>
    <row r="81" spans="1:11" s="552" customFormat="1" ht="15">
      <c r="A81" s="650" t="str">
        <f>L_CViec!A85</f>
        <v>I.3</v>
      </c>
      <c r="B81" s="629" t="str">
        <f>L_CViec!B85</f>
        <v>GHI CHÚ</v>
      </c>
      <c r="C81" s="629">
        <f>L_CViec!AB85</f>
        <v>0</v>
      </c>
      <c r="D81" s="629">
        <f>L_CViec!AA85</f>
        <v>0</v>
      </c>
      <c r="E81" s="629">
        <f>L_CViec!AC85</f>
        <v>0</v>
      </c>
      <c r="F81" s="629">
        <f>L_CViec!AD85</f>
        <v>0</v>
      </c>
      <c r="G81" s="629">
        <f>L_CViec!AE85</f>
        <v>0</v>
      </c>
      <c r="H81" s="630">
        <f>L_CViec!AF85</f>
        <v>0</v>
      </c>
      <c r="I81" s="674"/>
      <c r="J81" s="674"/>
      <c r="K81" s="675"/>
    </row>
    <row r="82" spans="1:11" s="552" customFormat="1" ht="49.5" customHeight="1">
      <c r="A82" s="676" t="str">
        <f>L_CViec!A86</f>
        <v>1</v>
      </c>
      <c r="B82" s="1736" t="str">
        <f>L_CViec!B86</f>
        <v>(1) Định mức trên đây tính cho các công việc đăng ký, cấp GCN đối với quyền sử dụng đất. Trường hợp đăng ký, cấp GCN đối với cả đất và tài sản gắn liền với đất thì định mức tính cho 1 hồ sơ đăng ký cả đất và tài sản bằng 1,6 lần định mức lao động cho 1 hồ sơ đăng ký đối với đất quy định tại Bảng này</v>
      </c>
      <c r="C82" s="1737"/>
      <c r="D82" s="1737"/>
      <c r="E82" s="1737"/>
      <c r="F82" s="1737"/>
      <c r="G82" s="1737"/>
      <c r="H82" s="1737"/>
      <c r="I82" s="1737"/>
      <c r="J82" s="1737"/>
      <c r="K82" s="1738"/>
    </row>
    <row r="83" spans="1:11" s="552" customFormat="1" ht="45" customHeight="1">
      <c r="A83" s="676" t="str">
        <f>L_CViec!A87</f>
        <v>2</v>
      </c>
      <c r="B83" s="1736" t="str">
        <f>L_CViec!B87</f>
        <v>(2) Trường hợp nhiều thửa đất nông nghiệp lập chung trong 1 hồ sơ và cấp chung trong một GCN thì ngoài mức được tính ở trên, mỗi thửa đất tăng thêm được tính mức bằng 0,30 lần định mức quy định đối với Mục 2, 3, 4, 5, 6, 7, 10, 11, 12, 13, 15, 16, 17, 18, 19, 20, 21, 24, 25, 26, 27 và 30 các nội dung thực hiện tại địa bàn xã, phường; Mục 1, 2 các nội dung thực hiện tại cấp tỉnh của Bảng này.</v>
      </c>
      <c r="C83" s="1737"/>
      <c r="D83" s="1737"/>
      <c r="E83" s="1737"/>
      <c r="F83" s="1737"/>
      <c r="G83" s="1737"/>
      <c r="H83" s="1737"/>
      <c r="I83" s="1737"/>
      <c r="J83" s="1737"/>
      <c r="K83" s="1738"/>
    </row>
    <row r="84" spans="1:11" s="552" customFormat="1" ht="30" customHeight="1">
      <c r="A84" s="676" t="str">
        <f>L_CViec!A88</f>
        <v>3</v>
      </c>
      <c r="B84" s="1736" t="str">
        <f>L_CViec!B88</f>
        <v>(3) Đối với các hồ sơ không có nhu cầu hoặc không đủ điều kiện cấp GCN thì được tính định mức đối với Mục 1, 2, 3, 4, 5, 6, 7, 10, 11, 13, 16 và 17 các nội dung thực hiện tại địa bàn xã, phường; Mục 1, 2, 3 các nội dung thực hiện tại địa bàn cấp tỉnh của Bảng 6</v>
      </c>
      <c r="C84" s="1737"/>
      <c r="D84" s="1737"/>
      <c r="E84" s="1737"/>
      <c r="F84" s="1737"/>
      <c r="G84" s="1737"/>
      <c r="H84" s="1737"/>
      <c r="I84" s="1737"/>
      <c r="J84" s="1737"/>
      <c r="K84" s="1738"/>
    </row>
    <row r="85" spans="1:11" s="552" customFormat="1" ht="30" customHeight="1">
      <c r="A85" s="676" t="e">
        <f>L_CViec!#REF!</f>
        <v>#REF!</v>
      </c>
      <c r="B85" s="1736" t="e">
        <f>L_CViec!#REF!</f>
        <v>#REF!</v>
      </c>
      <c r="C85" s="1737"/>
      <c r="D85" s="1737"/>
      <c r="E85" s="1737"/>
      <c r="F85" s="1737"/>
      <c r="G85" s="1737"/>
      <c r="H85" s="1737"/>
      <c r="I85" s="1737"/>
      <c r="J85" s="1737"/>
      <c r="K85" s="1738"/>
    </row>
    <row r="86" spans="1:11" s="552" customFormat="1" ht="30" customHeight="1">
      <c r="A86" s="676" t="e">
        <f>L_CViec!#REF!</f>
        <v>#REF!</v>
      </c>
      <c r="B86" s="1736" t="e">
        <f>L_CViec!#REF!</f>
        <v>#REF!</v>
      </c>
      <c r="C86" s="1737"/>
      <c r="D86" s="1737"/>
      <c r="E86" s="1737"/>
      <c r="F86" s="1737"/>
      <c r="G86" s="1737"/>
      <c r="H86" s="1737"/>
      <c r="I86" s="1737"/>
      <c r="J86" s="1737"/>
      <c r="K86" s="1738"/>
    </row>
    <row r="87" spans="1:11" s="552" customFormat="1" ht="45" customHeight="1">
      <c r="A87" s="676" t="str">
        <f>L_CViec!A89</f>
        <v>4</v>
      </c>
      <c r="B87" s="1736" t="str">
        <f>L_CViec!B89</f>
        <v>(4) Trường hợp người sử dụng đất đã đăng ký đất đai theo quy định của pháp luật mà có nhu cầu và đủ điều kiện cấp GCN thì được tính định mức đối với Mục 2, 7, 12, 18, 19, 20, 21, 24, 25, 26, 27 và 30 các nội dung thực hiện tại địa bàn xã, phường; Mục 1, 2, 3 các nội dung thực hiện tại địa bàn cấp tỉnh của Bảng này</v>
      </c>
      <c r="C87" s="1737"/>
      <c r="D87" s="1737"/>
      <c r="E87" s="1737"/>
      <c r="F87" s="1737"/>
      <c r="G87" s="1737"/>
      <c r="H87" s="1737"/>
      <c r="I87" s="1737"/>
      <c r="J87" s="1737"/>
      <c r="K87" s="1738"/>
    </row>
    <row r="88" spans="1:11" s="552" customFormat="1" ht="30" customHeight="1">
      <c r="A88" s="546" t="str">
        <f>L_CViec!A90</f>
        <v>5</v>
      </c>
      <c r="B88" s="1736" t="str">
        <f>L_CViec!B90</f>
        <v>(5) Đơn vị tính tại Bảng này trong trường hợp sử dụng là “Bộ/đĩa”, “Bộ/xã, phường,đặc khu” được tính trung bình cho 20.000 hồ sơ/1 xã, phường,đặc khu; trong trường hợp sử dụng là “Tờ” được tính trung bình 250 tờ bản đồ/1xã, phường,đặc khu.</v>
      </c>
      <c r="C88" s="1737"/>
      <c r="D88" s="1737"/>
      <c r="E88" s="1737"/>
      <c r="F88" s="1737"/>
      <c r="G88" s="1737"/>
      <c r="H88" s="1737"/>
      <c r="I88" s="1737"/>
      <c r="J88" s="1737"/>
      <c r="K88" s="1738"/>
    </row>
    <row r="89" spans="1:11" s="552" customFormat="1" ht="30" customHeight="1" thickBot="1">
      <c r="A89" s="593" t="str">
        <f>L_CViec!A91</f>
        <v>6</v>
      </c>
      <c r="B89" s="1747" t="str">
        <f>L_CViec!B91</f>
        <v>(6) Đơn vị tính tại Bảng này trong trường hợp sử dụng là “Điểm” được tính trung bình cho 10 điểm/1 xã, phường,đặc khu và “Cuộc” được tính trung bình cho 10 cuộc/1 xã, phường,đặc khu</v>
      </c>
      <c r="C89" s="1748"/>
      <c r="D89" s="1748"/>
      <c r="E89" s="1748"/>
      <c r="F89" s="1748"/>
      <c r="G89" s="1748"/>
      <c r="H89" s="1748"/>
      <c r="I89" s="1748"/>
      <c r="J89" s="1748"/>
      <c r="K89" s="1749"/>
    </row>
    <row r="90" spans="1:11" s="534" customFormat="1" ht="13.15" customHeight="1">
      <c r="A90" s="677" t="e">
        <f>L_CViec!#REF!</f>
        <v>#REF!</v>
      </c>
      <c r="B90" s="1739" t="e">
        <f>L_CViec!#REF!</f>
        <v>#REF!</v>
      </c>
      <c r="C90" s="1740"/>
      <c r="D90" s="1740"/>
      <c r="E90" s="1740"/>
      <c r="F90" s="1740"/>
      <c r="G90" s="1740"/>
      <c r="H90" s="1740"/>
      <c r="I90" s="1741"/>
      <c r="J90" s="678"/>
      <c r="K90" s="679" t="s">
        <v>339</v>
      </c>
    </row>
    <row r="91" spans="1:11" s="534" customFormat="1" ht="13.15" customHeight="1">
      <c r="A91" s="1742" t="e">
        <f>L_CViec!#REF!</f>
        <v>#REF!</v>
      </c>
      <c r="B91" s="1743" t="e">
        <f>L_CViec!#REF!</f>
        <v>#REF!</v>
      </c>
      <c r="C91" s="680"/>
      <c r="D91" s="680"/>
      <c r="E91" s="625" t="s">
        <v>353</v>
      </c>
      <c r="F91" s="1744">
        <v>2</v>
      </c>
      <c r="G91" s="626" t="e">
        <f>L_CViec!#REF!</f>
        <v>#REF!</v>
      </c>
      <c r="H91" s="627" t="e">
        <f>L_CViec!#REF!</f>
        <v>#REF!</v>
      </c>
      <c r="I91" s="532" t="e">
        <f>SUM(I$99,I$109,I$110,I111,I$120,I$122,I$123,I$125,I$127,I$128,I$129,)</f>
        <v>#REF!</v>
      </c>
      <c r="J91" s="532" t="e">
        <f t="shared" ref="J91:K97" si="1">SUM(J$99,J$109,J$110,J111,J$120,J$122,J$123,J$125,J$127,J$128,J$129,)</f>
        <v>#REF!</v>
      </c>
      <c r="K91" s="533" t="e">
        <f t="shared" si="1"/>
        <v>#REF!</v>
      </c>
    </row>
    <row r="92" spans="1:11" s="534" customFormat="1" ht="15" customHeight="1">
      <c r="A92" s="1742"/>
      <c r="B92" s="1743"/>
      <c r="C92" s="680"/>
      <c r="D92" s="680"/>
      <c r="E92" s="628" t="s">
        <v>202</v>
      </c>
      <c r="F92" s="1745"/>
      <c r="G92" s="681"/>
      <c r="H92" s="630"/>
      <c r="I92" s="537" t="e">
        <f>SUM(I$100,I112)</f>
        <v>#REF!</v>
      </c>
      <c r="J92" s="537">
        <f>SUM(J$100,J112)</f>
        <v>0</v>
      </c>
      <c r="K92" s="538">
        <f>SUM(K$100,K112)</f>
        <v>0</v>
      </c>
    </row>
    <row r="93" spans="1:11" s="534" customFormat="1" ht="15" customHeight="1">
      <c r="A93" s="1742"/>
      <c r="B93" s="1743"/>
      <c r="C93" s="680"/>
      <c r="D93" s="680"/>
      <c r="E93" s="628" t="s">
        <v>353</v>
      </c>
      <c r="F93" s="1746">
        <v>3</v>
      </c>
      <c r="G93" s="681"/>
      <c r="H93" s="630"/>
      <c r="I93" s="532" t="e">
        <f>SUM(I$99,I$109,I$110,I113,I$120,I$122,I$123,I$125,I$127,I$128,I$129,)</f>
        <v>#REF!</v>
      </c>
      <c r="J93" s="537" t="e">
        <f t="shared" si="1"/>
        <v>#REF!</v>
      </c>
      <c r="K93" s="538" t="e">
        <f t="shared" si="1"/>
        <v>#REF!</v>
      </c>
    </row>
    <row r="94" spans="1:11" s="534" customFormat="1" ht="15" customHeight="1">
      <c r="A94" s="1742"/>
      <c r="B94" s="1743"/>
      <c r="C94" s="680"/>
      <c r="D94" s="680"/>
      <c r="E94" s="628" t="s">
        <v>202</v>
      </c>
      <c r="F94" s="1745"/>
      <c r="G94" s="681"/>
      <c r="H94" s="630"/>
      <c r="I94" s="537" t="e">
        <f>SUM(I$100,I114)</f>
        <v>#REF!</v>
      </c>
      <c r="J94" s="537">
        <f>SUM(J$100,J114)</f>
        <v>0</v>
      </c>
      <c r="K94" s="538">
        <f>SUM(K$100,K114)</f>
        <v>0</v>
      </c>
    </row>
    <row r="95" spans="1:11" s="534" customFormat="1" ht="15" customHeight="1">
      <c r="A95" s="1742"/>
      <c r="B95" s="1743"/>
      <c r="C95" s="680"/>
      <c r="D95" s="680"/>
      <c r="E95" s="628" t="s">
        <v>353</v>
      </c>
      <c r="F95" s="1746">
        <v>4</v>
      </c>
      <c r="G95" s="681"/>
      <c r="H95" s="630"/>
      <c r="I95" s="532" t="e">
        <f>SUM(I$99,I$109,I$110,I115,I$120,I$122,I$123,I$125,I$127,I$128,I$129,)</f>
        <v>#REF!</v>
      </c>
      <c r="J95" s="537" t="e">
        <f t="shared" si="1"/>
        <v>#REF!</v>
      </c>
      <c r="K95" s="538" t="e">
        <f t="shared" si="1"/>
        <v>#REF!</v>
      </c>
    </row>
    <row r="96" spans="1:11" s="534" customFormat="1" ht="15" customHeight="1">
      <c r="A96" s="1742"/>
      <c r="B96" s="1743"/>
      <c r="C96" s="682"/>
      <c r="D96" s="682"/>
      <c r="E96" s="628" t="s">
        <v>202</v>
      </c>
      <c r="F96" s="1745"/>
      <c r="G96" s="681"/>
      <c r="H96" s="630"/>
      <c r="I96" s="537" t="e">
        <f>SUM(I$100,I116)</f>
        <v>#REF!</v>
      </c>
      <c r="J96" s="537">
        <f>SUM(J$100,J116)</f>
        <v>0</v>
      </c>
      <c r="K96" s="538">
        <f>SUM(K$100,K116)</f>
        <v>0</v>
      </c>
    </row>
    <row r="97" spans="1:14" s="534" customFormat="1" ht="15" customHeight="1">
      <c r="A97" s="1742"/>
      <c r="B97" s="1743"/>
      <c r="C97" s="680"/>
      <c r="D97" s="680"/>
      <c r="E97" s="628" t="s">
        <v>353</v>
      </c>
      <c r="F97" s="1746">
        <v>5</v>
      </c>
      <c r="G97" s="681"/>
      <c r="H97" s="630"/>
      <c r="I97" s="532" t="e">
        <f>SUM(I$99,I$109,I$110,I117,I$120,I$122,I$123,I$125,I$127,I$128,I$129,)</f>
        <v>#REF!</v>
      </c>
      <c r="J97" s="537" t="e">
        <f t="shared" si="1"/>
        <v>#REF!</v>
      </c>
      <c r="K97" s="538" t="e">
        <f t="shared" si="1"/>
        <v>#REF!</v>
      </c>
    </row>
    <row r="98" spans="1:14" s="534" customFormat="1" ht="15" customHeight="1">
      <c r="A98" s="1742"/>
      <c r="B98" s="1743"/>
      <c r="C98" s="680"/>
      <c r="D98" s="680"/>
      <c r="E98" s="628" t="s">
        <v>202</v>
      </c>
      <c r="F98" s="1745"/>
      <c r="G98" s="681"/>
      <c r="H98" s="630"/>
      <c r="I98" s="537" t="e">
        <f>SUM(I$100,I118)</f>
        <v>#REF!</v>
      </c>
      <c r="J98" s="537">
        <f>SUM(J$100,J118)</f>
        <v>0</v>
      </c>
      <c r="K98" s="538">
        <f>SUM(K$100,K118)</f>
        <v>0</v>
      </c>
    </row>
    <row r="99" spans="1:14" s="638" customFormat="1" ht="15">
      <c r="A99" s="632" t="e">
        <f>L_CViec!#REF!</f>
        <v>#REF!</v>
      </c>
      <c r="B99" s="633" t="e">
        <f>L_CViec!#REF!</f>
        <v>#REF!</v>
      </c>
      <c r="C99" s="634" t="e">
        <f>L_CViec!#REF!</f>
        <v>#REF!</v>
      </c>
      <c r="D99" s="634"/>
      <c r="E99" s="634" t="s">
        <v>353</v>
      </c>
      <c r="F99" s="634" t="e">
        <f>L_CViec!#REF!</f>
        <v>#REF!</v>
      </c>
      <c r="G99" s="634" t="e">
        <f>L_CViec!#REF!</f>
        <v>#REF!</v>
      </c>
      <c r="H99" s="636" t="e">
        <f>L_CViec!#REF!</f>
        <v>#REF!</v>
      </c>
      <c r="I99" s="636" t="e">
        <f>I101+I103+I104+I107</f>
        <v>#REF!</v>
      </c>
      <c r="J99" s="636" t="e">
        <f>J101+J103+J104+J107</f>
        <v>#REF!</v>
      </c>
      <c r="K99" s="637" t="e">
        <f>K101+K103+K104+K107</f>
        <v>#REF!</v>
      </c>
    </row>
    <row r="100" spans="1:14" s="638" customFormat="1" ht="15">
      <c r="A100" s="632"/>
      <c r="B100" s="633"/>
      <c r="C100" s="634"/>
      <c r="D100" s="634"/>
      <c r="E100" s="634" t="s">
        <v>202</v>
      </c>
      <c r="F100" s="634"/>
      <c r="G100" s="634"/>
      <c r="H100" s="636"/>
      <c r="I100" s="636" t="e">
        <f>I102+I105</f>
        <v>#REF!</v>
      </c>
      <c r="J100" s="636"/>
      <c r="K100" s="637"/>
    </row>
    <row r="101" spans="1:14" s="638" customFormat="1" ht="15">
      <c r="A101" s="632" t="e">
        <f>L_CViec!#REF!</f>
        <v>#REF!</v>
      </c>
      <c r="B101" s="633" t="e">
        <f>L_CViec!#REF!</f>
        <v>#REF!</v>
      </c>
      <c r="C101" s="634" t="e">
        <f>L_CViec!#REF!</f>
        <v>#REF!</v>
      </c>
      <c r="D101" s="634" t="e">
        <f>L_CViec!#REF!</f>
        <v>#REF!</v>
      </c>
      <c r="E101" s="634" t="e">
        <f>L_CViec!#REF!</f>
        <v>#REF!</v>
      </c>
      <c r="F101" s="634" t="e">
        <f>L_CViec!#REF!</f>
        <v>#REF!</v>
      </c>
      <c r="G101" s="634" t="e">
        <f>L_CViec!#REF!</f>
        <v>#REF!</v>
      </c>
      <c r="H101" s="636" t="e">
        <f>L_CViec!#REF!</f>
        <v>#REF!</v>
      </c>
      <c r="I101" s="636" t="e">
        <f>G101*H101*L_CBac!$G$68*10/5000</f>
        <v>#REF!</v>
      </c>
      <c r="J101" s="644" t="e">
        <f>$D101*$G101*L_CBac!$J$68*10/5000</f>
        <v>#REF!</v>
      </c>
      <c r="K101" s="645" t="e">
        <f>$D101*$G101*L_CBac!$J$69*10/5000</f>
        <v>#REF!</v>
      </c>
      <c r="M101" s="647"/>
      <c r="N101" s="639"/>
    </row>
    <row r="102" spans="1:14" s="638" customFormat="1" ht="15">
      <c r="A102" s="632" t="e">
        <f>L_CViec!#REF!</f>
        <v>#REF!</v>
      </c>
      <c r="B102" s="633" t="e">
        <f>L_CViec!#REF!</f>
        <v>#REF!</v>
      </c>
      <c r="C102" s="634" t="e">
        <f>L_CViec!#REF!</f>
        <v>#REF!</v>
      </c>
      <c r="D102" s="634" t="e">
        <f>L_CViec!#REF!</f>
        <v>#REF!</v>
      </c>
      <c r="E102" s="634" t="e">
        <f>L_CViec!#REF!</f>
        <v>#REF!</v>
      </c>
      <c r="F102" s="634" t="e">
        <f>L_CViec!#REF!</f>
        <v>#REF!</v>
      </c>
      <c r="G102" s="634" t="e">
        <f>L_CViec!#REF!</f>
        <v>#REF!</v>
      </c>
      <c r="H102" s="636" t="e">
        <f>L_CViec!#REF!</f>
        <v>#REF!</v>
      </c>
      <c r="I102" s="636" t="e">
        <f>G102*H102*L_CBac!$G$68*10/5000</f>
        <v>#REF!</v>
      </c>
      <c r="J102" s="636"/>
      <c r="K102" s="637"/>
      <c r="M102" s="647"/>
      <c r="N102" s="639"/>
    </row>
    <row r="103" spans="1:14" s="646" customFormat="1" ht="15">
      <c r="A103" s="640" t="e">
        <f>L_CViec!#REF!</f>
        <v>#REF!</v>
      </c>
      <c r="B103" s="641" t="e">
        <f>L_CViec!#REF!</f>
        <v>#REF!</v>
      </c>
      <c r="C103" s="642" t="e">
        <f>L_CViec!#REF!</f>
        <v>#REF!</v>
      </c>
      <c r="D103" s="642" t="e">
        <f>L_CViec!#REF!</f>
        <v>#REF!</v>
      </c>
      <c r="E103" s="642" t="e">
        <f>L_CViec!#REF!</f>
        <v>#REF!</v>
      </c>
      <c r="F103" s="642" t="e">
        <f>L_CViec!#REF!</f>
        <v>#REF!</v>
      </c>
      <c r="G103" s="642" t="e">
        <f>L_CViec!#REF!</f>
        <v>#REF!</v>
      </c>
      <c r="H103" s="644" t="e">
        <f>L_CViec!#REF!</f>
        <v>#REF!</v>
      </c>
      <c r="I103" s="636" t="e">
        <f>G103*H103*L_CBac!$G$68/5000</f>
        <v>#REF!</v>
      </c>
      <c r="J103" s="644" t="e">
        <f>$D103*$G103*L_CBac!$J$68*10/5000</f>
        <v>#REF!</v>
      </c>
      <c r="K103" s="645" t="e">
        <f>$D103*$G103*L_CBac!$J$69*10/5000</f>
        <v>#REF!</v>
      </c>
      <c r="M103" s="647"/>
      <c r="N103" s="639"/>
    </row>
    <row r="104" spans="1:14" s="646" customFormat="1" ht="15">
      <c r="A104" s="640" t="e">
        <f>L_CViec!#REF!</f>
        <v>#REF!</v>
      </c>
      <c r="B104" s="641" t="e">
        <f>L_CViec!#REF!</f>
        <v>#REF!</v>
      </c>
      <c r="C104" s="642" t="e">
        <f>L_CViec!#REF!</f>
        <v>#REF!</v>
      </c>
      <c r="D104" s="642" t="e">
        <f>L_CViec!#REF!</f>
        <v>#REF!</v>
      </c>
      <c r="E104" s="642" t="e">
        <f>L_CViec!#REF!</f>
        <v>#REF!</v>
      </c>
      <c r="F104" s="642" t="e">
        <f>L_CViec!#REF!</f>
        <v>#REF!</v>
      </c>
      <c r="G104" s="642" t="e">
        <f>L_CViec!#REF!</f>
        <v>#REF!</v>
      </c>
      <c r="H104" s="644" t="e">
        <f>L_CViec!#REF!</f>
        <v>#REF!</v>
      </c>
      <c r="I104" s="636" t="e">
        <f>G104*H104*L_CBac!$G$68*10/5000</f>
        <v>#REF!</v>
      </c>
      <c r="J104" s="644" t="e">
        <f>$D104*$G104*L_CBac!$J$68*10/5000</f>
        <v>#REF!</v>
      </c>
      <c r="K104" s="645" t="e">
        <f>$D104*$G104*L_CBac!$J$69*10/5000</f>
        <v>#REF!</v>
      </c>
      <c r="M104" s="647"/>
      <c r="N104" s="639"/>
    </row>
    <row r="105" spans="1:14" s="638" customFormat="1" ht="16.5" customHeight="1">
      <c r="A105" s="632" t="e">
        <f>L_CViec!#REF!</f>
        <v>#REF!</v>
      </c>
      <c r="B105" s="633" t="e">
        <f>L_CViec!#REF!</f>
        <v>#REF!</v>
      </c>
      <c r="C105" s="634" t="e">
        <f>L_CViec!#REF!</f>
        <v>#REF!</v>
      </c>
      <c r="D105" s="634" t="e">
        <f>L_CViec!#REF!</f>
        <v>#REF!</v>
      </c>
      <c r="E105" s="634" t="e">
        <f>L_CViec!#REF!</f>
        <v>#REF!</v>
      </c>
      <c r="F105" s="634" t="e">
        <f>L_CViec!#REF!</f>
        <v>#REF!</v>
      </c>
      <c r="G105" s="634" t="e">
        <f>L_CViec!#REF!</f>
        <v>#REF!</v>
      </c>
      <c r="H105" s="636" t="e">
        <f>L_CViec!#REF!</f>
        <v>#REF!</v>
      </c>
      <c r="I105" s="636" t="e">
        <f>G105*H105*10/5000</f>
        <v>#REF!</v>
      </c>
      <c r="J105" s="636"/>
      <c r="K105" s="637"/>
      <c r="M105" s="647"/>
      <c r="N105" s="639"/>
    </row>
    <row r="106" spans="1:14" s="552" customFormat="1" ht="16.5" customHeight="1">
      <c r="A106" s="546" t="e">
        <f>L_CViec!#REF!</f>
        <v>#REF!</v>
      </c>
      <c r="B106" s="559" t="e">
        <f>L_CViec!#REF!</f>
        <v>#REF!</v>
      </c>
      <c r="C106" s="548" t="e">
        <f>L_CViec!#REF!</f>
        <v>#REF!</v>
      </c>
      <c r="D106" s="548" t="e">
        <f>L_CViec!#REF!</f>
        <v>#REF!</v>
      </c>
      <c r="E106" s="548" t="e">
        <f>L_CViec!#REF!</f>
        <v>#REF!</v>
      </c>
      <c r="F106" s="548" t="e">
        <f>L_CViec!#REF!</f>
        <v>#REF!</v>
      </c>
      <c r="G106" s="548" t="e">
        <f>L_CViec!#REF!</f>
        <v>#REF!</v>
      </c>
      <c r="H106" s="550" t="e">
        <f>L_CViec!#REF!</f>
        <v>#REF!</v>
      </c>
      <c r="I106" s="550"/>
      <c r="J106" s="550"/>
      <c r="K106" s="551"/>
      <c r="M106" s="647"/>
      <c r="N106" s="639"/>
    </row>
    <row r="107" spans="1:14" s="558" customFormat="1" ht="16.5" customHeight="1">
      <c r="A107" s="553" t="e">
        <f>L_CViec!#REF!</f>
        <v>#REF!</v>
      </c>
      <c r="B107" s="574" t="e">
        <f>L_CViec!#REF!</f>
        <v>#REF!</v>
      </c>
      <c r="C107" s="555" t="e">
        <f>L_CViec!#REF!</f>
        <v>#REF!</v>
      </c>
      <c r="D107" s="555" t="e">
        <f>L_CViec!#REF!</f>
        <v>#REF!</v>
      </c>
      <c r="E107" s="555" t="e">
        <f>L_CViec!#REF!</f>
        <v>#REF!</v>
      </c>
      <c r="F107" s="555" t="e">
        <f>L_CViec!#REF!</f>
        <v>#REF!</v>
      </c>
      <c r="G107" s="555" t="e">
        <f>L_CViec!#REF!</f>
        <v>#REF!</v>
      </c>
      <c r="H107" s="556" t="e">
        <f>L_CViec!#REF!</f>
        <v>#REF!</v>
      </c>
      <c r="I107" s="556" t="e">
        <f>G107*H107*L_CBac!$G$68</f>
        <v>#REF!</v>
      </c>
      <c r="J107" s="550" t="e">
        <f>$D107*$G107*L_CBac!$J$68</f>
        <v>#REF!</v>
      </c>
      <c r="K107" s="551" t="e">
        <f>$D107*$G107*L_CBac!$J$69</f>
        <v>#REF!</v>
      </c>
      <c r="M107" s="647"/>
      <c r="N107" s="639"/>
    </row>
    <row r="108" spans="1:14" s="558" customFormat="1" ht="16.5" customHeight="1">
      <c r="A108" s="553" t="e">
        <f>L_CViec!#REF!</f>
        <v>#REF!</v>
      </c>
      <c r="B108" s="574" t="e">
        <f>L_CViec!#REF!</f>
        <v>#REF!</v>
      </c>
      <c r="C108" s="555" t="e">
        <f>L_CViec!#REF!</f>
        <v>#REF!</v>
      </c>
      <c r="D108" s="555" t="e">
        <f>L_CViec!#REF!</f>
        <v>#REF!</v>
      </c>
      <c r="E108" s="555" t="e">
        <f>L_CViec!#REF!</f>
        <v>#REF!</v>
      </c>
      <c r="F108" s="555" t="e">
        <f>L_CViec!#REF!</f>
        <v>#REF!</v>
      </c>
      <c r="G108" s="555" t="e">
        <f>L_CViec!#REF!</f>
        <v>#REF!</v>
      </c>
      <c r="H108" s="556" t="e">
        <f>L_CViec!#REF!</f>
        <v>#REF!</v>
      </c>
      <c r="I108" s="556" t="e">
        <f>G108*H108*L_CBac!$G$68</f>
        <v>#REF!</v>
      </c>
      <c r="J108" s="550" t="e">
        <f>$D108*$G108*L_CBac!$J$68</f>
        <v>#REF!</v>
      </c>
      <c r="K108" s="551" t="e">
        <f>$D108*$G108*L_CBac!$J$69</f>
        <v>#REF!</v>
      </c>
      <c r="M108" s="647"/>
      <c r="N108" s="639"/>
    </row>
    <row r="109" spans="1:14" s="552" customFormat="1" ht="15">
      <c r="A109" s="546" t="e">
        <f>L_CViec!#REF!</f>
        <v>#REF!</v>
      </c>
      <c r="B109" s="559" t="e">
        <f>L_CViec!#REF!</f>
        <v>#REF!</v>
      </c>
      <c r="C109" s="548" t="e">
        <f>L_CViec!#REF!</f>
        <v>#REF!</v>
      </c>
      <c r="D109" s="548" t="e">
        <f>L_CViec!#REF!</f>
        <v>#REF!</v>
      </c>
      <c r="E109" s="548" t="e">
        <f>L_CViec!#REF!</f>
        <v>#REF!</v>
      </c>
      <c r="F109" s="548" t="e">
        <f>L_CViec!#REF!</f>
        <v>#REF!</v>
      </c>
      <c r="G109" s="548" t="e">
        <f>L_CViec!#REF!</f>
        <v>#REF!</v>
      </c>
      <c r="H109" s="550" t="e">
        <f>L_CViec!#REF!</f>
        <v>#REF!</v>
      </c>
      <c r="I109" s="550" t="e">
        <f>G109*H109*L_CBac!$G$68</f>
        <v>#REF!</v>
      </c>
      <c r="J109" s="550" t="e">
        <f>$D109*$G109*L_CBac!$J$68</f>
        <v>#REF!</v>
      </c>
      <c r="K109" s="551" t="e">
        <f>$D109*$G109*L_CBac!$J$69</f>
        <v>#REF!</v>
      </c>
      <c r="M109" s="647"/>
      <c r="N109" s="639"/>
    </row>
    <row r="110" spans="1:14" s="552" customFormat="1" ht="15">
      <c r="A110" s="546" t="e">
        <f>L_CViec!#REF!</f>
        <v>#REF!</v>
      </c>
      <c r="B110" s="559" t="e">
        <f>L_CViec!#REF!</f>
        <v>#REF!</v>
      </c>
      <c r="C110" s="548" t="e">
        <f>L_CViec!#REF!</f>
        <v>#REF!</v>
      </c>
      <c r="D110" s="548" t="e">
        <f>L_CViec!#REF!</f>
        <v>#REF!</v>
      </c>
      <c r="E110" s="548" t="e">
        <f>L_CViec!#REF!</f>
        <v>#REF!</v>
      </c>
      <c r="F110" s="548" t="e">
        <f>L_CViec!#REF!</f>
        <v>#REF!</v>
      </c>
      <c r="G110" s="548" t="e">
        <f>L_CViec!#REF!</f>
        <v>#REF!</v>
      </c>
      <c r="H110" s="550" t="e">
        <f>L_CViec!#REF!</f>
        <v>#REF!</v>
      </c>
      <c r="I110" s="550" t="e">
        <f>G110*H110*L_CBac!$G$68</f>
        <v>#REF!</v>
      </c>
      <c r="J110" s="550" t="e">
        <f>$D110*$G110*L_CBac!$J$68</f>
        <v>#REF!</v>
      </c>
      <c r="K110" s="551" t="e">
        <f>$D110*$G110*L_CBac!$J$69</f>
        <v>#REF!</v>
      </c>
      <c r="M110" s="647"/>
      <c r="N110" s="639"/>
    </row>
    <row r="111" spans="1:14" s="552" customFormat="1" ht="15">
      <c r="A111" s="546" t="e">
        <f>L_CViec!#REF!</f>
        <v>#REF!</v>
      </c>
      <c r="B111" s="559" t="e">
        <f>L_CViec!#REF!</f>
        <v>#REF!</v>
      </c>
      <c r="C111" s="548" t="e">
        <f>L_CViec!#REF!</f>
        <v>#REF!</v>
      </c>
      <c r="D111" s="548" t="e">
        <f>L_CViec!#REF!</f>
        <v>#REF!</v>
      </c>
      <c r="E111" s="548" t="e">
        <f>L_CViec!#REF!</f>
        <v>#REF!</v>
      </c>
      <c r="F111" s="548" t="e">
        <f>L_CViec!#REF!</f>
        <v>#REF!</v>
      </c>
      <c r="G111" s="548" t="e">
        <f>L_CViec!#REF!</f>
        <v>#REF!</v>
      </c>
      <c r="H111" s="550" t="e">
        <f>L_CViec!#REF!</f>
        <v>#REF!</v>
      </c>
      <c r="I111" s="550" t="e">
        <f>G111*H111*L_CBac!$G$68</f>
        <v>#REF!</v>
      </c>
      <c r="J111" s="550" t="e">
        <f>$D111*$G111*L_CBac!$J$68</f>
        <v>#REF!</v>
      </c>
      <c r="K111" s="551" t="e">
        <f>$D111*$G111*L_CBac!$J$69</f>
        <v>#REF!</v>
      </c>
      <c r="M111" s="647"/>
      <c r="N111" s="639"/>
    </row>
    <row r="112" spans="1:14" s="552" customFormat="1" ht="16.5" customHeight="1">
      <c r="A112" s="546" t="e">
        <f>L_CViec!#REF!</f>
        <v>#REF!</v>
      </c>
      <c r="B112" s="559" t="e">
        <f>L_CViec!#REF!</f>
        <v>#REF!</v>
      </c>
      <c r="C112" s="548" t="e">
        <f>L_CViec!#REF!</f>
        <v>#REF!</v>
      </c>
      <c r="D112" s="548" t="e">
        <f>L_CViec!#REF!</f>
        <v>#REF!</v>
      </c>
      <c r="E112" s="548" t="e">
        <f>L_CViec!#REF!</f>
        <v>#REF!</v>
      </c>
      <c r="F112" s="548" t="e">
        <f>L_CViec!#REF!</f>
        <v>#REF!</v>
      </c>
      <c r="G112" s="548" t="e">
        <f>L_CViec!#REF!</f>
        <v>#REF!</v>
      </c>
      <c r="H112" s="550" t="e">
        <f>L_CViec!#REF!</f>
        <v>#REF!</v>
      </c>
      <c r="I112" s="550" t="e">
        <f>G112*H112</f>
        <v>#REF!</v>
      </c>
      <c r="J112" s="550"/>
      <c r="K112" s="551"/>
      <c r="M112" s="647"/>
      <c r="N112" s="639"/>
    </row>
    <row r="113" spans="1:14" s="552" customFormat="1" ht="16.5" customHeight="1">
      <c r="A113" s="546" t="e">
        <f>L_CViec!#REF!</f>
        <v>#REF!</v>
      </c>
      <c r="B113" s="559" t="e">
        <f>L_CViec!#REF!</f>
        <v>#REF!</v>
      </c>
      <c r="C113" s="548" t="e">
        <f>L_CViec!#REF!</f>
        <v>#REF!</v>
      </c>
      <c r="D113" s="548" t="e">
        <f>L_CViec!#REF!</f>
        <v>#REF!</v>
      </c>
      <c r="E113" s="548" t="e">
        <f>L_CViec!#REF!</f>
        <v>#REF!</v>
      </c>
      <c r="F113" s="548" t="e">
        <f>L_CViec!#REF!</f>
        <v>#REF!</v>
      </c>
      <c r="G113" s="548" t="e">
        <f>L_CViec!#REF!</f>
        <v>#REF!</v>
      </c>
      <c r="H113" s="550" t="e">
        <f>L_CViec!#REF!</f>
        <v>#REF!</v>
      </c>
      <c r="I113" s="550" t="e">
        <f>G113*H113*L_CBac!$G$68</f>
        <v>#REF!</v>
      </c>
      <c r="J113" s="550" t="e">
        <f>$D113*$G113*L_CBac!$J$68</f>
        <v>#REF!</v>
      </c>
      <c r="K113" s="551" t="e">
        <f>$D113*$G113*L_CBac!$J$69</f>
        <v>#REF!</v>
      </c>
      <c r="M113" s="647"/>
      <c r="N113" s="639"/>
    </row>
    <row r="114" spans="1:14" s="552" customFormat="1" ht="16.5" customHeight="1">
      <c r="A114" s="546" t="e">
        <f>L_CViec!#REF!</f>
        <v>#REF!</v>
      </c>
      <c r="B114" s="559" t="e">
        <f>L_CViec!#REF!</f>
        <v>#REF!</v>
      </c>
      <c r="C114" s="548" t="e">
        <f>L_CViec!#REF!</f>
        <v>#REF!</v>
      </c>
      <c r="D114" s="548" t="e">
        <f>L_CViec!#REF!</f>
        <v>#REF!</v>
      </c>
      <c r="E114" s="548" t="e">
        <f>L_CViec!#REF!</f>
        <v>#REF!</v>
      </c>
      <c r="F114" s="548" t="e">
        <f>L_CViec!#REF!</f>
        <v>#REF!</v>
      </c>
      <c r="G114" s="548" t="e">
        <f>L_CViec!#REF!</f>
        <v>#REF!</v>
      </c>
      <c r="H114" s="550" t="e">
        <f>L_CViec!#REF!</f>
        <v>#REF!</v>
      </c>
      <c r="I114" s="550" t="e">
        <f>G114*H114</f>
        <v>#REF!</v>
      </c>
      <c r="J114" s="550"/>
      <c r="K114" s="551"/>
      <c r="M114" s="647"/>
      <c r="N114" s="639"/>
    </row>
    <row r="115" spans="1:14" s="552" customFormat="1" ht="16.5" customHeight="1">
      <c r="A115" s="546" t="e">
        <f>L_CViec!#REF!</f>
        <v>#REF!</v>
      </c>
      <c r="B115" s="559" t="e">
        <f>L_CViec!#REF!</f>
        <v>#REF!</v>
      </c>
      <c r="C115" s="548" t="e">
        <f>L_CViec!#REF!</f>
        <v>#REF!</v>
      </c>
      <c r="D115" s="548" t="e">
        <f>L_CViec!#REF!</f>
        <v>#REF!</v>
      </c>
      <c r="E115" s="548" t="e">
        <f>L_CViec!#REF!</f>
        <v>#REF!</v>
      </c>
      <c r="F115" s="548" t="e">
        <f>L_CViec!#REF!</f>
        <v>#REF!</v>
      </c>
      <c r="G115" s="548" t="e">
        <f>L_CViec!#REF!</f>
        <v>#REF!</v>
      </c>
      <c r="H115" s="550" t="e">
        <f>L_CViec!#REF!</f>
        <v>#REF!</v>
      </c>
      <c r="I115" s="550" t="e">
        <f>G115*H115*L_CBac!$G$68</f>
        <v>#REF!</v>
      </c>
      <c r="J115" s="550" t="e">
        <f>$D115*$G115*L_CBac!$J$68</f>
        <v>#REF!</v>
      </c>
      <c r="K115" s="551" t="e">
        <f>$D115*$G115*L_CBac!$J$69</f>
        <v>#REF!</v>
      </c>
      <c r="M115" s="647"/>
      <c r="N115" s="639"/>
    </row>
    <row r="116" spans="1:14" s="552" customFormat="1" ht="16.5" customHeight="1">
      <c r="A116" s="546" t="e">
        <f>L_CViec!#REF!</f>
        <v>#REF!</v>
      </c>
      <c r="B116" s="559" t="e">
        <f>L_CViec!#REF!</f>
        <v>#REF!</v>
      </c>
      <c r="C116" s="548" t="e">
        <f>L_CViec!#REF!</f>
        <v>#REF!</v>
      </c>
      <c r="D116" s="548" t="e">
        <f>L_CViec!#REF!</f>
        <v>#REF!</v>
      </c>
      <c r="E116" s="548" t="e">
        <f>L_CViec!#REF!</f>
        <v>#REF!</v>
      </c>
      <c r="F116" s="548" t="e">
        <f>L_CViec!#REF!</f>
        <v>#REF!</v>
      </c>
      <c r="G116" s="548" t="e">
        <f>L_CViec!#REF!</f>
        <v>#REF!</v>
      </c>
      <c r="H116" s="550" t="e">
        <f>L_CViec!#REF!</f>
        <v>#REF!</v>
      </c>
      <c r="I116" s="550" t="e">
        <f>G116*H116</f>
        <v>#REF!</v>
      </c>
      <c r="J116" s="550"/>
      <c r="K116" s="551"/>
      <c r="M116" s="647"/>
      <c r="N116" s="639"/>
    </row>
    <row r="117" spans="1:14" s="552" customFormat="1" ht="16.5" customHeight="1">
      <c r="A117" s="546" t="e">
        <f>L_CViec!#REF!</f>
        <v>#REF!</v>
      </c>
      <c r="B117" s="559" t="e">
        <f>L_CViec!#REF!</f>
        <v>#REF!</v>
      </c>
      <c r="C117" s="548" t="e">
        <f>L_CViec!#REF!</f>
        <v>#REF!</v>
      </c>
      <c r="D117" s="548" t="e">
        <f>L_CViec!#REF!</f>
        <v>#REF!</v>
      </c>
      <c r="E117" s="548" t="e">
        <f>L_CViec!#REF!</f>
        <v>#REF!</v>
      </c>
      <c r="F117" s="548" t="e">
        <f>L_CViec!#REF!</f>
        <v>#REF!</v>
      </c>
      <c r="G117" s="548" t="e">
        <f>L_CViec!#REF!</f>
        <v>#REF!</v>
      </c>
      <c r="H117" s="550" t="e">
        <f>L_CViec!#REF!</f>
        <v>#REF!</v>
      </c>
      <c r="I117" s="550" t="e">
        <f>G117*H117*L_CBac!$G$68</f>
        <v>#REF!</v>
      </c>
      <c r="J117" s="550" t="e">
        <f>$D117*$G117*L_CBac!$J$68</f>
        <v>#REF!</v>
      </c>
      <c r="K117" s="551" t="e">
        <f>$D117*$G117*L_CBac!$J$69</f>
        <v>#REF!</v>
      </c>
      <c r="M117" s="647"/>
      <c r="N117" s="639"/>
    </row>
    <row r="118" spans="1:14" s="552" customFormat="1" ht="16.5" customHeight="1">
      <c r="A118" s="546" t="e">
        <f>L_CViec!#REF!</f>
        <v>#REF!</v>
      </c>
      <c r="B118" s="559" t="e">
        <f>L_CViec!#REF!</f>
        <v>#REF!</v>
      </c>
      <c r="C118" s="548" t="e">
        <f>L_CViec!#REF!</f>
        <v>#REF!</v>
      </c>
      <c r="D118" s="548" t="e">
        <f>L_CViec!#REF!</f>
        <v>#REF!</v>
      </c>
      <c r="E118" s="548" t="e">
        <f>L_CViec!#REF!</f>
        <v>#REF!</v>
      </c>
      <c r="F118" s="548" t="e">
        <f>L_CViec!#REF!</f>
        <v>#REF!</v>
      </c>
      <c r="G118" s="548" t="e">
        <f>L_CViec!#REF!</f>
        <v>#REF!</v>
      </c>
      <c r="H118" s="550" t="e">
        <f>L_CViec!#REF!</f>
        <v>#REF!</v>
      </c>
      <c r="I118" s="550" t="e">
        <f>G118*H118</f>
        <v>#REF!</v>
      </c>
      <c r="J118" s="550"/>
      <c r="K118" s="551"/>
      <c r="M118" s="647"/>
      <c r="N118" s="639"/>
    </row>
    <row r="119" spans="1:14" s="552" customFormat="1" ht="15">
      <c r="A119" s="546" t="e">
        <f>L_CViec!#REF!</f>
        <v>#REF!</v>
      </c>
      <c r="B119" s="559" t="e">
        <f>L_CViec!#REF!</f>
        <v>#REF!</v>
      </c>
      <c r="C119" s="548" t="e">
        <f>L_CViec!#REF!</f>
        <v>#REF!</v>
      </c>
      <c r="D119" s="548" t="e">
        <f>L_CViec!#REF!</f>
        <v>#REF!</v>
      </c>
      <c r="E119" s="548" t="e">
        <f>L_CViec!#REF!</f>
        <v>#REF!</v>
      </c>
      <c r="F119" s="548" t="e">
        <f>L_CViec!#REF!</f>
        <v>#REF!</v>
      </c>
      <c r="G119" s="548" t="e">
        <f>L_CViec!#REF!</f>
        <v>#REF!</v>
      </c>
      <c r="H119" s="550" t="e">
        <f>L_CViec!#REF!</f>
        <v>#REF!</v>
      </c>
      <c r="I119" s="550"/>
      <c r="J119" s="550"/>
      <c r="K119" s="551"/>
      <c r="M119" s="647"/>
      <c r="N119" s="639"/>
    </row>
    <row r="120" spans="1:14" s="558" customFormat="1" ht="18" customHeight="1">
      <c r="A120" s="553" t="e">
        <f>L_CViec!#REF!</f>
        <v>#REF!</v>
      </c>
      <c r="B120" s="574" t="e">
        <f>L_CViec!#REF!</f>
        <v>#REF!</v>
      </c>
      <c r="C120" s="555" t="e">
        <f>L_CViec!#REF!</f>
        <v>#REF!</v>
      </c>
      <c r="D120" s="555" t="e">
        <f>L_CViec!#REF!</f>
        <v>#REF!</v>
      </c>
      <c r="E120" s="555" t="e">
        <f>L_CViec!#REF!</f>
        <v>#REF!</v>
      </c>
      <c r="F120" s="555" t="e">
        <f>L_CViec!#REF!</f>
        <v>#REF!</v>
      </c>
      <c r="G120" s="555" t="e">
        <f>L_CViec!#REF!</f>
        <v>#REF!</v>
      </c>
      <c r="H120" s="556" t="e">
        <f>L_CViec!#REF!</f>
        <v>#REF!</v>
      </c>
      <c r="I120" s="556" t="e">
        <f>G120*H120*L_CBac!$G$68</f>
        <v>#REF!</v>
      </c>
      <c r="J120" s="550" t="e">
        <f>$D120*$G120*L_CBac!$J$68</f>
        <v>#REF!</v>
      </c>
      <c r="K120" s="551" t="e">
        <f>$D120*$G120*L_CBac!$J$69</f>
        <v>#REF!</v>
      </c>
      <c r="M120" s="647"/>
      <c r="N120" s="639"/>
    </row>
    <row r="121" spans="1:14" s="558" customFormat="1" ht="18" customHeight="1">
      <c r="A121" s="553" t="e">
        <f>L_CViec!#REF!</f>
        <v>#REF!</v>
      </c>
      <c r="B121" s="574" t="e">
        <f>L_CViec!#REF!</f>
        <v>#REF!</v>
      </c>
      <c r="C121" s="555" t="e">
        <f>L_CViec!#REF!</f>
        <v>#REF!</v>
      </c>
      <c r="D121" s="555" t="e">
        <f>L_CViec!#REF!</f>
        <v>#REF!</v>
      </c>
      <c r="E121" s="555" t="e">
        <f>L_CViec!#REF!</f>
        <v>#REF!</v>
      </c>
      <c r="F121" s="555" t="e">
        <f>L_CViec!#REF!</f>
        <v>#REF!</v>
      </c>
      <c r="G121" s="555" t="e">
        <f>L_CViec!#REF!</f>
        <v>#REF!</v>
      </c>
      <c r="H121" s="556" t="e">
        <f>L_CViec!#REF!</f>
        <v>#REF!</v>
      </c>
      <c r="I121" s="556" t="e">
        <f>G121*H121*L_CBac!$G$68</f>
        <v>#REF!</v>
      </c>
      <c r="J121" s="550" t="e">
        <f>$D121*$G121*L_CBac!$J$68</f>
        <v>#REF!</v>
      </c>
      <c r="K121" s="551" t="e">
        <f>$D121*$G121*L_CBac!$J$69</f>
        <v>#REF!</v>
      </c>
      <c r="M121" s="647"/>
      <c r="N121" s="639"/>
    </row>
    <row r="122" spans="1:14" s="552" customFormat="1" ht="15">
      <c r="A122" s="546" t="e">
        <f>L_CViec!#REF!</f>
        <v>#REF!</v>
      </c>
      <c r="B122" s="559" t="e">
        <f>L_CViec!#REF!</f>
        <v>#REF!</v>
      </c>
      <c r="C122" s="548" t="e">
        <f>L_CViec!#REF!</f>
        <v>#REF!</v>
      </c>
      <c r="D122" s="548" t="e">
        <f>L_CViec!#REF!</f>
        <v>#REF!</v>
      </c>
      <c r="E122" s="548" t="e">
        <f>L_CViec!#REF!</f>
        <v>#REF!</v>
      </c>
      <c r="F122" s="548" t="e">
        <f>L_CViec!#REF!</f>
        <v>#REF!</v>
      </c>
      <c r="G122" s="548" t="e">
        <f>L_CViec!#REF!</f>
        <v>#REF!</v>
      </c>
      <c r="H122" s="550" t="e">
        <f>L_CViec!#REF!</f>
        <v>#REF!</v>
      </c>
      <c r="I122" s="550" t="e">
        <f>G122*H122*L_CBac!$G$68</f>
        <v>#REF!</v>
      </c>
      <c r="J122" s="550" t="e">
        <f>$D122*$G122*L_CBac!$J$68</f>
        <v>#REF!</v>
      </c>
      <c r="K122" s="551" t="e">
        <f>$D122*$G122*L_CBac!$J$69</f>
        <v>#REF!</v>
      </c>
      <c r="M122" s="647"/>
      <c r="N122" s="639"/>
    </row>
    <row r="123" spans="1:14" s="552" customFormat="1" ht="15">
      <c r="A123" s="546" t="e">
        <f>L_CViec!#REF!</f>
        <v>#REF!</v>
      </c>
      <c r="B123" s="559" t="e">
        <f>L_CViec!#REF!</f>
        <v>#REF!</v>
      </c>
      <c r="C123" s="548" t="e">
        <f>L_CViec!#REF!</f>
        <v>#REF!</v>
      </c>
      <c r="D123" s="548" t="e">
        <f>L_CViec!#REF!</f>
        <v>#REF!</v>
      </c>
      <c r="E123" s="548" t="e">
        <f>L_CViec!#REF!</f>
        <v>#REF!</v>
      </c>
      <c r="F123" s="548" t="e">
        <f>L_CViec!#REF!</f>
        <v>#REF!</v>
      </c>
      <c r="G123" s="548" t="e">
        <f>L_CViec!#REF!</f>
        <v>#REF!</v>
      </c>
      <c r="H123" s="550" t="e">
        <f>L_CViec!#REF!</f>
        <v>#REF!</v>
      </c>
      <c r="I123" s="550" t="e">
        <f>G123*H123*L_CBac!$G$68</f>
        <v>#REF!</v>
      </c>
      <c r="J123" s="550" t="e">
        <f>$D123*$G123*L_CBac!$J$68</f>
        <v>#REF!</v>
      </c>
      <c r="K123" s="551" t="e">
        <f>$D123*$G123*L_CBac!$J$69</f>
        <v>#REF!</v>
      </c>
      <c r="M123" s="647"/>
      <c r="N123" s="639"/>
    </row>
    <row r="124" spans="1:14" s="552" customFormat="1" ht="15">
      <c r="A124" s="546" t="e">
        <f>L_CViec!#REF!</f>
        <v>#REF!</v>
      </c>
      <c r="B124" s="559" t="e">
        <f>L_CViec!#REF!</f>
        <v>#REF!</v>
      </c>
      <c r="C124" s="548" t="e">
        <f>L_CViec!#REF!</f>
        <v>#REF!</v>
      </c>
      <c r="D124" s="548" t="e">
        <f>L_CViec!#REF!</f>
        <v>#REF!</v>
      </c>
      <c r="E124" s="548" t="e">
        <f>L_CViec!#REF!</f>
        <v>#REF!</v>
      </c>
      <c r="F124" s="548" t="e">
        <f>L_CViec!#REF!</f>
        <v>#REF!</v>
      </c>
      <c r="G124" s="548" t="e">
        <f>L_CViec!#REF!</f>
        <v>#REF!</v>
      </c>
      <c r="H124" s="550" t="e">
        <f>L_CViec!#REF!</f>
        <v>#REF!</v>
      </c>
      <c r="I124" s="550"/>
      <c r="J124" s="550"/>
      <c r="K124" s="551"/>
      <c r="M124" s="647"/>
      <c r="N124" s="639"/>
    </row>
    <row r="125" spans="1:14" s="558" customFormat="1" ht="17.25" customHeight="1">
      <c r="A125" s="553" t="e">
        <f>L_CViec!#REF!</f>
        <v>#REF!</v>
      </c>
      <c r="B125" s="574" t="e">
        <f>L_CViec!#REF!</f>
        <v>#REF!</v>
      </c>
      <c r="C125" s="555" t="e">
        <f>L_CViec!#REF!</f>
        <v>#REF!</v>
      </c>
      <c r="D125" s="555" t="e">
        <f>L_CViec!#REF!</f>
        <v>#REF!</v>
      </c>
      <c r="E125" s="555" t="e">
        <f>L_CViec!#REF!</f>
        <v>#REF!</v>
      </c>
      <c r="F125" s="555" t="e">
        <f>L_CViec!#REF!</f>
        <v>#REF!</v>
      </c>
      <c r="G125" s="555" t="e">
        <f>L_CViec!#REF!</f>
        <v>#REF!</v>
      </c>
      <c r="H125" s="556" t="e">
        <f>L_CViec!#REF!</f>
        <v>#REF!</v>
      </c>
      <c r="I125" s="556" t="e">
        <f>G125*H125*L_CBac!$G$68</f>
        <v>#REF!</v>
      </c>
      <c r="J125" s="550" t="e">
        <f>$D125*$G125*L_CBac!$J$68</f>
        <v>#REF!</v>
      </c>
      <c r="K125" s="551" t="e">
        <f>$D125*$G125*L_CBac!$J$69</f>
        <v>#REF!</v>
      </c>
      <c r="M125" s="647"/>
      <c r="N125" s="639"/>
    </row>
    <row r="126" spans="1:14" s="558" customFormat="1" ht="17.25" customHeight="1">
      <c r="A126" s="553" t="e">
        <f>L_CViec!#REF!</f>
        <v>#REF!</v>
      </c>
      <c r="B126" s="574" t="e">
        <f>L_CViec!#REF!</f>
        <v>#REF!</v>
      </c>
      <c r="C126" s="555" t="e">
        <f>L_CViec!#REF!</f>
        <v>#REF!</v>
      </c>
      <c r="D126" s="555" t="e">
        <f>L_CViec!#REF!</f>
        <v>#REF!</v>
      </c>
      <c r="E126" s="555" t="e">
        <f>L_CViec!#REF!</f>
        <v>#REF!</v>
      </c>
      <c r="F126" s="555" t="e">
        <f>L_CViec!#REF!</f>
        <v>#REF!</v>
      </c>
      <c r="G126" s="555" t="e">
        <f>L_CViec!#REF!</f>
        <v>#REF!</v>
      </c>
      <c r="H126" s="556" t="e">
        <f>L_CViec!#REF!</f>
        <v>#REF!</v>
      </c>
      <c r="I126" s="556" t="e">
        <f>G126*H126*L_CBac!$G$68</f>
        <v>#REF!</v>
      </c>
      <c r="J126" s="550" t="e">
        <f>$D126*$G126*L_CBac!$J$68</f>
        <v>#REF!</v>
      </c>
      <c r="K126" s="551" t="e">
        <f>$D126*$G126*L_CBac!$J$69</f>
        <v>#REF!</v>
      </c>
      <c r="M126" s="647"/>
      <c r="N126" s="639"/>
    </row>
    <row r="127" spans="1:14" s="552" customFormat="1" ht="15">
      <c r="A127" s="546" t="e">
        <f>L_CViec!#REF!</f>
        <v>#REF!</v>
      </c>
      <c r="B127" s="559" t="e">
        <f>L_CViec!#REF!</f>
        <v>#REF!</v>
      </c>
      <c r="C127" s="548" t="e">
        <f>L_CViec!#REF!</f>
        <v>#REF!</v>
      </c>
      <c r="D127" s="548" t="e">
        <f>L_CViec!#REF!</f>
        <v>#REF!</v>
      </c>
      <c r="E127" s="548" t="e">
        <f>L_CViec!#REF!</f>
        <v>#REF!</v>
      </c>
      <c r="F127" s="548" t="e">
        <f>L_CViec!#REF!</f>
        <v>#REF!</v>
      </c>
      <c r="G127" s="548" t="e">
        <f>L_CViec!#REF!</f>
        <v>#REF!</v>
      </c>
      <c r="H127" s="550" t="e">
        <f>L_CViec!#REF!</f>
        <v>#REF!</v>
      </c>
      <c r="I127" s="550" t="e">
        <f>G127*H127*L_CBac!$G$68</f>
        <v>#REF!</v>
      </c>
      <c r="J127" s="550" t="e">
        <f>$D127*$G127*L_CBac!$J$68</f>
        <v>#REF!</v>
      </c>
      <c r="K127" s="551" t="e">
        <f>$D127*$G127*L_CBac!$J$69</f>
        <v>#REF!</v>
      </c>
      <c r="M127" s="647"/>
      <c r="N127" s="639"/>
    </row>
    <row r="128" spans="1:14" s="552" customFormat="1" ht="15">
      <c r="A128" s="546" t="e">
        <f>L_CViec!#REF!</f>
        <v>#REF!</v>
      </c>
      <c r="B128" s="559" t="e">
        <f>L_CViec!#REF!</f>
        <v>#REF!</v>
      </c>
      <c r="C128" s="548" t="e">
        <f>L_CViec!#REF!</f>
        <v>#REF!</v>
      </c>
      <c r="D128" s="548" t="e">
        <f>L_CViec!#REF!</f>
        <v>#REF!</v>
      </c>
      <c r="E128" s="548" t="e">
        <f>L_CViec!#REF!</f>
        <v>#REF!</v>
      </c>
      <c r="F128" s="548" t="e">
        <f>L_CViec!#REF!</f>
        <v>#REF!</v>
      </c>
      <c r="G128" s="548" t="e">
        <f>L_CViec!#REF!</f>
        <v>#REF!</v>
      </c>
      <c r="H128" s="550" t="e">
        <f>L_CViec!#REF!</f>
        <v>#REF!</v>
      </c>
      <c r="I128" s="550" t="e">
        <f>G128*H128*L_CBac!$G$68</f>
        <v>#REF!</v>
      </c>
      <c r="J128" s="550" t="e">
        <f>$D128*$G128*L_CBac!$J$68</f>
        <v>#REF!</v>
      </c>
      <c r="K128" s="551" t="e">
        <f>$D128*$G128*L_CBac!$J$69</f>
        <v>#REF!</v>
      </c>
      <c r="M128" s="647"/>
      <c r="N128" s="639"/>
    </row>
    <row r="129" spans="1:14" s="552" customFormat="1" ht="15">
      <c r="A129" s="683" t="e">
        <f>L_CViec!#REF!</f>
        <v>#REF!</v>
      </c>
      <c r="B129" s="684" t="e">
        <f>L_CViec!#REF!</f>
        <v>#REF!</v>
      </c>
      <c r="C129" s="685" t="e">
        <f>L_CViec!#REF!</f>
        <v>#REF!</v>
      </c>
      <c r="D129" s="685" t="e">
        <f>L_CViec!#REF!</f>
        <v>#REF!</v>
      </c>
      <c r="E129" s="685" t="e">
        <f>L_CViec!#REF!</f>
        <v>#REF!</v>
      </c>
      <c r="F129" s="685" t="e">
        <f>L_CViec!#REF!</f>
        <v>#REF!</v>
      </c>
      <c r="G129" s="685" t="e">
        <f>L_CViec!#REF!</f>
        <v>#REF!</v>
      </c>
      <c r="H129" s="686" t="e">
        <f>L_CViec!#REF!</f>
        <v>#REF!</v>
      </c>
      <c r="I129" s="686" t="e">
        <f>G129*H129*L_CBac!$G$68</f>
        <v>#REF!</v>
      </c>
      <c r="J129" s="550" t="e">
        <f>$D129*$G129*L_CBac!$J$68</f>
        <v>#REF!</v>
      </c>
      <c r="K129" s="551" t="e">
        <f>$D129*$G129*L_CBac!$J$69</f>
        <v>#REF!</v>
      </c>
      <c r="M129" s="647"/>
      <c r="N129" s="639"/>
    </row>
    <row r="130" spans="1:14" s="534" customFormat="1" ht="15">
      <c r="A130" s="687" t="e">
        <f>L_CViec!#REF!</f>
        <v>#REF!</v>
      </c>
      <c r="B130" s="682" t="e">
        <f>L_CViec!#REF!</f>
        <v>#REF!</v>
      </c>
      <c r="C130" s="682" t="e">
        <f>L_CViec!#REF!</f>
        <v>#REF!</v>
      </c>
      <c r="D130" s="682" t="e">
        <f>L_CViec!#REF!</f>
        <v>#REF!</v>
      </c>
      <c r="E130" s="682" t="e">
        <f>L_CViec!#REF!</f>
        <v>#REF!</v>
      </c>
      <c r="F130" s="682" t="e">
        <f>L_CViec!#REF!</f>
        <v>#REF!</v>
      </c>
      <c r="G130" s="682" t="e">
        <f>L_CViec!#REF!</f>
        <v>#REF!</v>
      </c>
      <c r="H130" s="627" t="e">
        <f>L_CViec!#REF!</f>
        <v>#REF!</v>
      </c>
      <c r="I130" s="532" t="e">
        <f>SUM(I132,I134,I135,I136,I138,I142,I144,I146,I147,I149,I151,I152,I153,I154,I160,I161)</f>
        <v>#REF!</v>
      </c>
      <c r="J130" s="532" t="e">
        <f>SUM(J132,J134,J135,J136,J138,J142,J144,J146,J147,J149,J151,J152,J153,J154,J160,J161)</f>
        <v>#REF!</v>
      </c>
      <c r="K130" s="533" t="e">
        <f>SUM(K132,K134,K135,K136,K138,K142,K144,K146,K147,K149,K151,K152,K153,K154,K160,K161)</f>
        <v>#REF!</v>
      </c>
      <c r="M130" s="647"/>
      <c r="N130" s="639"/>
    </row>
    <row r="131" spans="1:14" s="552" customFormat="1" ht="15">
      <c r="A131" s="546" t="e">
        <f>L_CViec!#REF!</f>
        <v>#REF!</v>
      </c>
      <c r="B131" s="559" t="e">
        <f>L_CViec!#REF!</f>
        <v>#REF!</v>
      </c>
      <c r="C131" s="548" t="e">
        <f>L_CViec!#REF!</f>
        <v>#REF!</v>
      </c>
      <c r="D131" s="548" t="e">
        <f>L_CViec!#REF!</f>
        <v>#REF!</v>
      </c>
      <c r="E131" s="548" t="e">
        <f>L_CViec!#REF!</f>
        <v>#REF!</v>
      </c>
      <c r="F131" s="548" t="e">
        <f>L_CViec!#REF!</f>
        <v>#REF!</v>
      </c>
      <c r="G131" s="548" t="e">
        <f>L_CViec!#REF!</f>
        <v>#REF!</v>
      </c>
      <c r="H131" s="550" t="e">
        <f>L_CViec!#REF!</f>
        <v>#REF!</v>
      </c>
      <c r="I131" s="550"/>
      <c r="J131" s="550"/>
      <c r="K131" s="551"/>
      <c r="M131" s="647"/>
      <c r="N131" s="639"/>
    </row>
    <row r="132" spans="1:14" s="558" customFormat="1" ht="17.25" customHeight="1">
      <c r="A132" s="553" t="e">
        <f>L_CViec!#REF!</f>
        <v>#REF!</v>
      </c>
      <c r="B132" s="574" t="e">
        <f>L_CViec!#REF!</f>
        <v>#REF!</v>
      </c>
      <c r="C132" s="555" t="e">
        <f>L_CViec!#REF!</f>
        <v>#REF!</v>
      </c>
      <c r="D132" s="555" t="e">
        <f>L_CViec!#REF!</f>
        <v>#REF!</v>
      </c>
      <c r="E132" s="555" t="e">
        <f>L_CViec!#REF!</f>
        <v>#REF!</v>
      </c>
      <c r="F132" s="555" t="e">
        <f>L_CViec!#REF!</f>
        <v>#REF!</v>
      </c>
      <c r="G132" s="555" t="e">
        <f>L_CViec!#REF!</f>
        <v>#REF!</v>
      </c>
      <c r="H132" s="556" t="e">
        <f>L_CViec!#REF!</f>
        <v>#REF!</v>
      </c>
      <c r="I132" s="556" t="e">
        <f>G132*H132*L_CBac!$G$68</f>
        <v>#REF!</v>
      </c>
      <c r="J132" s="556" t="e">
        <f>$D132*$G132*L_CBac!$J$68</f>
        <v>#REF!</v>
      </c>
      <c r="K132" s="557" t="e">
        <f>$D132*$G132*L_CBac!$J$69</f>
        <v>#REF!</v>
      </c>
      <c r="M132" s="647"/>
      <c r="N132" s="639"/>
    </row>
    <row r="133" spans="1:14" s="558" customFormat="1" ht="17.25" customHeight="1">
      <c r="A133" s="553" t="e">
        <f>L_CViec!#REF!</f>
        <v>#REF!</v>
      </c>
      <c r="B133" s="574" t="e">
        <f>L_CViec!#REF!</f>
        <v>#REF!</v>
      </c>
      <c r="C133" s="555" t="e">
        <f>L_CViec!#REF!</f>
        <v>#REF!</v>
      </c>
      <c r="D133" s="555" t="e">
        <f>L_CViec!#REF!</f>
        <v>#REF!</v>
      </c>
      <c r="E133" s="555" t="e">
        <f>L_CViec!#REF!</f>
        <v>#REF!</v>
      </c>
      <c r="F133" s="555" t="e">
        <f>L_CViec!#REF!</f>
        <v>#REF!</v>
      </c>
      <c r="G133" s="555" t="e">
        <f>L_CViec!#REF!</f>
        <v>#REF!</v>
      </c>
      <c r="H133" s="556" t="e">
        <f>L_CViec!#REF!</f>
        <v>#REF!</v>
      </c>
      <c r="I133" s="556" t="e">
        <f>G133*H133*L_CBac!$G$68</f>
        <v>#REF!</v>
      </c>
      <c r="J133" s="556" t="e">
        <f>$D133*$G133*L_CBac!$J$68</f>
        <v>#REF!</v>
      </c>
      <c r="K133" s="557" t="e">
        <f>$D133*$G133*L_CBac!$J$69</f>
        <v>#REF!</v>
      </c>
      <c r="M133" s="647"/>
      <c r="N133" s="639"/>
    </row>
    <row r="134" spans="1:14" s="552" customFormat="1" ht="15">
      <c r="A134" s="546" t="e">
        <f>L_CViec!#REF!</f>
        <v>#REF!</v>
      </c>
      <c r="B134" s="559" t="e">
        <f>L_CViec!#REF!</f>
        <v>#REF!</v>
      </c>
      <c r="C134" s="548" t="e">
        <f>L_CViec!#REF!</f>
        <v>#REF!</v>
      </c>
      <c r="D134" s="548" t="e">
        <f>L_CViec!#REF!</f>
        <v>#REF!</v>
      </c>
      <c r="E134" s="548" t="e">
        <f>L_CViec!#REF!</f>
        <v>#REF!</v>
      </c>
      <c r="F134" s="548" t="e">
        <f>L_CViec!#REF!</f>
        <v>#REF!</v>
      </c>
      <c r="G134" s="548" t="e">
        <f>L_CViec!#REF!</f>
        <v>#REF!</v>
      </c>
      <c r="H134" s="550" t="e">
        <f>L_CViec!#REF!</f>
        <v>#REF!</v>
      </c>
      <c r="I134" s="550" t="e">
        <f>G134*H134*L_CBac!$G$68</f>
        <v>#REF!</v>
      </c>
      <c r="J134" s="550" t="e">
        <f>$D134*$G134*L_CBac!$J$68</f>
        <v>#REF!</v>
      </c>
      <c r="K134" s="551" t="e">
        <f>$D134*$G134*L_CBac!$J$69</f>
        <v>#REF!</v>
      </c>
      <c r="M134" s="647"/>
      <c r="N134" s="639"/>
    </row>
    <row r="135" spans="1:14" s="552" customFormat="1" ht="15">
      <c r="A135" s="546" t="e">
        <f>L_CViec!#REF!</f>
        <v>#REF!</v>
      </c>
      <c r="B135" s="559" t="e">
        <f>L_CViec!#REF!</f>
        <v>#REF!</v>
      </c>
      <c r="C135" s="548" t="e">
        <f>L_CViec!#REF!</f>
        <v>#REF!</v>
      </c>
      <c r="D135" s="548" t="e">
        <f>L_CViec!#REF!</f>
        <v>#REF!</v>
      </c>
      <c r="E135" s="548" t="e">
        <f>L_CViec!#REF!</f>
        <v>#REF!</v>
      </c>
      <c r="F135" s="548" t="e">
        <f>L_CViec!#REF!</f>
        <v>#REF!</v>
      </c>
      <c r="G135" s="548" t="e">
        <f>L_CViec!#REF!</f>
        <v>#REF!</v>
      </c>
      <c r="H135" s="550" t="e">
        <f>L_CViec!#REF!</f>
        <v>#REF!</v>
      </c>
      <c r="I135" s="550" t="e">
        <f>G135*H135*L_CBac!$G$68</f>
        <v>#REF!</v>
      </c>
      <c r="J135" s="550" t="e">
        <f>$D135*$G135*L_CBac!$J$68</f>
        <v>#REF!</v>
      </c>
      <c r="K135" s="551" t="e">
        <f>$D135*$G135*L_CBac!$J$69</f>
        <v>#REF!</v>
      </c>
      <c r="M135" s="647"/>
      <c r="N135" s="639"/>
    </row>
    <row r="136" spans="1:14" s="552" customFormat="1" ht="15">
      <c r="A136" s="546" t="e">
        <f>L_CViec!#REF!</f>
        <v>#REF!</v>
      </c>
      <c r="B136" s="559" t="e">
        <f>L_CViec!#REF!</f>
        <v>#REF!</v>
      </c>
      <c r="C136" s="548" t="e">
        <f>L_CViec!#REF!</f>
        <v>#REF!</v>
      </c>
      <c r="D136" s="548" t="e">
        <f>L_CViec!#REF!</f>
        <v>#REF!</v>
      </c>
      <c r="E136" s="548" t="e">
        <f>L_CViec!#REF!</f>
        <v>#REF!</v>
      </c>
      <c r="F136" s="548" t="e">
        <f>L_CViec!#REF!</f>
        <v>#REF!</v>
      </c>
      <c r="G136" s="548" t="e">
        <f>L_CViec!#REF!</f>
        <v>#REF!</v>
      </c>
      <c r="H136" s="550" t="e">
        <f>L_CViec!#REF!</f>
        <v>#REF!</v>
      </c>
      <c r="I136" s="550" t="e">
        <f>G136*H136*L_CBac!$G$68</f>
        <v>#REF!</v>
      </c>
      <c r="J136" s="550" t="e">
        <f>$D136*$G136*L_CBac!$J$68</f>
        <v>#REF!</v>
      </c>
      <c r="K136" s="551" t="e">
        <f>$D136*$G136*L_CBac!$J$69</f>
        <v>#REF!</v>
      </c>
      <c r="M136" s="647"/>
      <c r="N136" s="639"/>
    </row>
    <row r="137" spans="1:14" s="552" customFormat="1" ht="18" customHeight="1">
      <c r="A137" s="546" t="e">
        <f>L_CViec!#REF!</f>
        <v>#REF!</v>
      </c>
      <c r="B137" s="559" t="e">
        <f>L_CViec!#REF!</f>
        <v>#REF!</v>
      </c>
      <c r="C137" s="548" t="e">
        <f>L_CViec!#REF!</f>
        <v>#REF!</v>
      </c>
      <c r="D137" s="548" t="e">
        <f>L_CViec!#REF!</f>
        <v>#REF!</v>
      </c>
      <c r="E137" s="548" t="e">
        <f>L_CViec!#REF!</f>
        <v>#REF!</v>
      </c>
      <c r="F137" s="548" t="e">
        <f>L_CViec!#REF!</f>
        <v>#REF!</v>
      </c>
      <c r="G137" s="548" t="e">
        <f>L_CViec!#REF!</f>
        <v>#REF!</v>
      </c>
      <c r="H137" s="550" t="e">
        <f>L_CViec!#REF!</f>
        <v>#REF!</v>
      </c>
      <c r="I137" s="550"/>
      <c r="J137" s="550"/>
      <c r="K137" s="551"/>
      <c r="M137" s="690"/>
      <c r="N137" s="691"/>
    </row>
    <row r="138" spans="1:14" s="558" customFormat="1" ht="18" customHeight="1">
      <c r="A138" s="553" t="e">
        <f>L_CViec!#REF!</f>
        <v>#REF!</v>
      </c>
      <c r="B138" s="574" t="e">
        <f>L_CViec!#REF!</f>
        <v>#REF!</v>
      </c>
      <c r="C138" s="555" t="e">
        <f>L_CViec!#REF!</f>
        <v>#REF!</v>
      </c>
      <c r="D138" s="555" t="e">
        <f>L_CViec!#REF!</f>
        <v>#REF!</v>
      </c>
      <c r="E138" s="555" t="e">
        <f>L_CViec!#REF!</f>
        <v>#REF!</v>
      </c>
      <c r="F138" s="555" t="e">
        <f>L_CViec!#REF!</f>
        <v>#REF!</v>
      </c>
      <c r="G138" s="555" t="e">
        <f>L_CViec!#REF!</f>
        <v>#REF!</v>
      </c>
      <c r="H138" s="556" t="e">
        <f>L_CViec!#REF!</f>
        <v>#REF!</v>
      </c>
      <c r="I138" s="556" t="e">
        <f>G138*H138*L_CBac!$G$68</f>
        <v>#REF!</v>
      </c>
      <c r="J138" s="556" t="e">
        <f>$D138*$G138*L_CBac!$J$68</f>
        <v>#REF!</v>
      </c>
      <c r="K138" s="557" t="e">
        <f>$D138*$G138*L_CBac!$J$69</f>
        <v>#REF!</v>
      </c>
      <c r="M138" s="690"/>
      <c r="N138" s="691"/>
    </row>
    <row r="139" spans="1:14" s="558" customFormat="1" ht="18" customHeight="1">
      <c r="A139" s="553" t="e">
        <f>L_CViec!#REF!</f>
        <v>#REF!</v>
      </c>
      <c r="B139" s="574" t="e">
        <f>L_CViec!#REF!</f>
        <v>#REF!</v>
      </c>
      <c r="C139" s="555" t="e">
        <f>L_CViec!#REF!</f>
        <v>#REF!</v>
      </c>
      <c r="D139" s="555" t="e">
        <f>L_CViec!#REF!</f>
        <v>#REF!</v>
      </c>
      <c r="E139" s="555" t="e">
        <f>L_CViec!#REF!</f>
        <v>#REF!</v>
      </c>
      <c r="F139" s="555" t="e">
        <f>L_CViec!#REF!</f>
        <v>#REF!</v>
      </c>
      <c r="G139" s="555" t="e">
        <f>L_CViec!#REF!</f>
        <v>#REF!</v>
      </c>
      <c r="H139" s="556" t="e">
        <f>L_CViec!#REF!</f>
        <v>#REF!</v>
      </c>
      <c r="I139" s="556" t="e">
        <f>G139*H139*L_CBac!$G$68</f>
        <v>#REF!</v>
      </c>
      <c r="J139" s="556" t="e">
        <f>$D139*$G139*L_CBac!$J$68</f>
        <v>#REF!</v>
      </c>
      <c r="K139" s="557" t="e">
        <f>$D139*$G139*L_CBac!$J$69</f>
        <v>#REF!</v>
      </c>
      <c r="M139" s="690"/>
      <c r="N139" s="691"/>
    </row>
    <row r="140" spans="1:14" s="552" customFormat="1" ht="15">
      <c r="A140" s="546" t="e">
        <f>L_CViec!#REF!</f>
        <v>#REF!</v>
      </c>
      <c r="B140" s="559" t="e">
        <f>L_CViec!#REF!</f>
        <v>#REF!</v>
      </c>
      <c r="C140" s="548" t="e">
        <f>L_CViec!#REF!</f>
        <v>#REF!</v>
      </c>
      <c r="D140" s="548" t="e">
        <f>L_CViec!#REF!</f>
        <v>#REF!</v>
      </c>
      <c r="E140" s="548" t="e">
        <f>L_CViec!#REF!</f>
        <v>#REF!</v>
      </c>
      <c r="F140" s="548" t="e">
        <f>L_CViec!#REF!</f>
        <v>#REF!</v>
      </c>
      <c r="G140" s="548" t="e">
        <f>L_CViec!#REF!</f>
        <v>#REF!</v>
      </c>
      <c r="H140" s="550" t="e">
        <f>L_CViec!#REF!</f>
        <v>#REF!</v>
      </c>
      <c r="I140" s="550"/>
      <c r="J140" s="550"/>
      <c r="K140" s="551"/>
      <c r="M140" s="647"/>
      <c r="N140" s="639"/>
    </row>
    <row r="141" spans="1:14" s="558" customFormat="1" ht="15">
      <c r="A141" s="553" t="e">
        <f>L_CViec!#REF!</f>
        <v>#REF!</v>
      </c>
      <c r="B141" s="574" t="e">
        <f>L_CViec!#REF!</f>
        <v>#REF!</v>
      </c>
      <c r="C141" s="555" t="e">
        <f>L_CViec!#REF!</f>
        <v>#REF!</v>
      </c>
      <c r="D141" s="555" t="e">
        <f>L_CViec!#REF!</f>
        <v>#REF!</v>
      </c>
      <c r="E141" s="555" t="e">
        <f>L_CViec!#REF!</f>
        <v>#REF!</v>
      </c>
      <c r="F141" s="555" t="e">
        <f>L_CViec!#REF!</f>
        <v>#REF!</v>
      </c>
      <c r="G141" s="555" t="e">
        <f>L_CViec!#REF!</f>
        <v>#REF!</v>
      </c>
      <c r="H141" s="556" t="e">
        <f>L_CViec!#REF!</f>
        <v>#REF!</v>
      </c>
      <c r="I141" s="556" t="e">
        <f>G141*H141*L_CBac!$G$68</f>
        <v>#REF!</v>
      </c>
      <c r="J141" s="550" t="e">
        <f>$D141*$G141*L_CBac!$J$68</f>
        <v>#REF!</v>
      </c>
      <c r="K141" s="551" t="e">
        <f>$D141*$G141*L_CBac!$J$69</f>
        <v>#REF!</v>
      </c>
      <c r="M141" s="647"/>
      <c r="N141" s="639"/>
    </row>
    <row r="142" spans="1:14" s="558" customFormat="1" ht="15">
      <c r="A142" s="553" t="e">
        <f>L_CViec!#REF!</f>
        <v>#REF!</v>
      </c>
      <c r="B142" s="574" t="e">
        <f>L_CViec!#REF!</f>
        <v>#REF!</v>
      </c>
      <c r="C142" s="555" t="e">
        <f>L_CViec!#REF!</f>
        <v>#REF!</v>
      </c>
      <c r="D142" s="555" t="e">
        <f>L_CViec!#REF!</f>
        <v>#REF!</v>
      </c>
      <c r="E142" s="555" t="e">
        <f>L_CViec!#REF!</f>
        <v>#REF!</v>
      </c>
      <c r="F142" s="555" t="e">
        <f>L_CViec!#REF!</f>
        <v>#REF!</v>
      </c>
      <c r="G142" s="555" t="e">
        <f>L_CViec!#REF!</f>
        <v>#REF!</v>
      </c>
      <c r="H142" s="556" t="e">
        <f>L_CViec!#REF!</f>
        <v>#REF!</v>
      </c>
      <c r="I142" s="556" t="e">
        <f>G142*H142*L_CBac!$G$68</f>
        <v>#REF!</v>
      </c>
      <c r="J142" s="550" t="e">
        <f>$D142*$G142*L_CBac!$J$68</f>
        <v>#REF!</v>
      </c>
      <c r="K142" s="551" t="e">
        <f>$D142*$G142*L_CBac!$J$69</f>
        <v>#REF!</v>
      </c>
      <c r="M142" s="647"/>
      <c r="N142" s="639"/>
    </row>
    <row r="143" spans="1:14" s="552" customFormat="1" ht="15">
      <c r="A143" s="546" t="e">
        <f>L_CViec!#REF!</f>
        <v>#REF!</v>
      </c>
      <c r="B143" s="559" t="e">
        <f>L_CViec!#REF!</f>
        <v>#REF!</v>
      </c>
      <c r="C143" s="548" t="e">
        <f>L_CViec!#REF!</f>
        <v>#REF!</v>
      </c>
      <c r="D143" s="548" t="e">
        <f>L_CViec!#REF!</f>
        <v>#REF!</v>
      </c>
      <c r="E143" s="548" t="e">
        <f>L_CViec!#REF!</f>
        <v>#REF!</v>
      </c>
      <c r="F143" s="548" t="e">
        <f>L_CViec!#REF!</f>
        <v>#REF!</v>
      </c>
      <c r="G143" s="548" t="e">
        <f>L_CViec!#REF!</f>
        <v>#REF!</v>
      </c>
      <c r="H143" s="550" t="e">
        <f>L_CViec!#REF!</f>
        <v>#REF!</v>
      </c>
      <c r="I143" s="550"/>
      <c r="J143" s="550"/>
      <c r="K143" s="551"/>
      <c r="M143" s="647"/>
      <c r="N143" s="639"/>
    </row>
    <row r="144" spans="1:14" s="558" customFormat="1" ht="15">
      <c r="A144" s="553" t="e">
        <f>L_CViec!#REF!</f>
        <v>#REF!</v>
      </c>
      <c r="B144" s="574" t="e">
        <f>L_CViec!#REF!</f>
        <v>#REF!</v>
      </c>
      <c r="C144" s="555" t="e">
        <f>L_CViec!#REF!</f>
        <v>#REF!</v>
      </c>
      <c r="D144" s="555" t="e">
        <f>L_CViec!#REF!</f>
        <v>#REF!</v>
      </c>
      <c r="E144" s="555" t="e">
        <f>L_CViec!#REF!</f>
        <v>#REF!</v>
      </c>
      <c r="F144" s="555" t="e">
        <f>L_CViec!#REF!</f>
        <v>#REF!</v>
      </c>
      <c r="G144" s="555" t="e">
        <f>L_CViec!#REF!</f>
        <v>#REF!</v>
      </c>
      <c r="H144" s="556" t="e">
        <f>L_CViec!#REF!</f>
        <v>#REF!</v>
      </c>
      <c r="I144" s="556" t="e">
        <f>G144*H144*L_CBac!$G$68</f>
        <v>#REF!</v>
      </c>
      <c r="J144" s="556" t="e">
        <f>$D144*$G144*L_CBac!$J$68</f>
        <v>#REF!</v>
      </c>
      <c r="K144" s="557" t="e">
        <f>$D144*$G144*L_CBac!$J$69</f>
        <v>#REF!</v>
      </c>
      <c r="M144" s="647"/>
      <c r="N144" s="639"/>
    </row>
    <row r="145" spans="1:14" s="558" customFormat="1" ht="15">
      <c r="A145" s="553" t="e">
        <f>L_CViec!#REF!</f>
        <v>#REF!</v>
      </c>
      <c r="B145" s="574" t="e">
        <f>L_CViec!#REF!</f>
        <v>#REF!</v>
      </c>
      <c r="C145" s="555" t="e">
        <f>L_CViec!#REF!</f>
        <v>#REF!</v>
      </c>
      <c r="D145" s="555" t="e">
        <f>L_CViec!#REF!</f>
        <v>#REF!</v>
      </c>
      <c r="E145" s="555" t="e">
        <f>L_CViec!#REF!</f>
        <v>#REF!</v>
      </c>
      <c r="F145" s="555" t="e">
        <f>L_CViec!#REF!</f>
        <v>#REF!</v>
      </c>
      <c r="G145" s="555" t="e">
        <f>L_CViec!#REF!</f>
        <v>#REF!</v>
      </c>
      <c r="H145" s="556" t="e">
        <f>L_CViec!#REF!</f>
        <v>#REF!</v>
      </c>
      <c r="I145" s="556" t="e">
        <f>G145*H145*L_CBac!$G$68</f>
        <v>#REF!</v>
      </c>
      <c r="J145" s="556" t="e">
        <f>$D145*$G145*L_CBac!$J$68</f>
        <v>#REF!</v>
      </c>
      <c r="K145" s="557" t="e">
        <f>$D145*$G145*L_CBac!$J$69</f>
        <v>#REF!</v>
      </c>
      <c r="M145" s="647"/>
      <c r="N145" s="639"/>
    </row>
    <row r="146" spans="1:14" s="552" customFormat="1" ht="15">
      <c r="A146" s="546" t="e">
        <f>L_CViec!#REF!</f>
        <v>#REF!</v>
      </c>
      <c r="B146" s="559" t="e">
        <f>L_CViec!#REF!</f>
        <v>#REF!</v>
      </c>
      <c r="C146" s="548" t="e">
        <f>L_CViec!#REF!</f>
        <v>#REF!</v>
      </c>
      <c r="D146" s="548" t="e">
        <f>L_CViec!#REF!</f>
        <v>#REF!</v>
      </c>
      <c r="E146" s="548" t="e">
        <f>L_CViec!#REF!</f>
        <v>#REF!</v>
      </c>
      <c r="F146" s="548" t="e">
        <f>L_CViec!#REF!</f>
        <v>#REF!</v>
      </c>
      <c r="G146" s="548" t="e">
        <f>L_CViec!#REF!</f>
        <v>#REF!</v>
      </c>
      <c r="H146" s="550" t="e">
        <f>L_CViec!#REF!</f>
        <v>#REF!</v>
      </c>
      <c r="I146" s="550" t="e">
        <f>G146*H146*L_CBac!$G$68</f>
        <v>#REF!</v>
      </c>
      <c r="J146" s="550" t="e">
        <f>$D146*$G146*L_CBac!$J$68</f>
        <v>#REF!</v>
      </c>
      <c r="K146" s="551" t="e">
        <f>$D146*$G146*L_CBac!$J$69</f>
        <v>#REF!</v>
      </c>
      <c r="M146" s="647"/>
      <c r="N146" s="639"/>
    </row>
    <row r="147" spans="1:14" s="552" customFormat="1" ht="18" customHeight="1">
      <c r="A147" s="546" t="e">
        <f>L_CViec!#REF!</f>
        <v>#REF!</v>
      </c>
      <c r="B147" s="559" t="e">
        <f>L_CViec!#REF!</f>
        <v>#REF!</v>
      </c>
      <c r="C147" s="548" t="e">
        <f>L_CViec!#REF!</f>
        <v>#REF!</v>
      </c>
      <c r="D147" s="548" t="e">
        <f>L_CViec!#REF!</f>
        <v>#REF!</v>
      </c>
      <c r="E147" s="548" t="e">
        <f>L_CViec!#REF!</f>
        <v>#REF!</v>
      </c>
      <c r="F147" s="548" t="e">
        <f>L_CViec!#REF!</f>
        <v>#REF!</v>
      </c>
      <c r="G147" s="548" t="e">
        <f>L_CViec!#REF!</f>
        <v>#REF!</v>
      </c>
      <c r="H147" s="550" t="e">
        <f>L_CViec!#REF!</f>
        <v>#REF!</v>
      </c>
      <c r="I147" s="550" t="e">
        <f>G147*H147*L_CBac!$G$68</f>
        <v>#REF!</v>
      </c>
      <c r="J147" s="550" t="e">
        <f>$D147*$G147*L_CBac!$J$68</f>
        <v>#REF!</v>
      </c>
      <c r="K147" s="551" t="e">
        <f>$D147*$G147*L_CBac!$J$69</f>
        <v>#REF!</v>
      </c>
      <c r="M147" s="690"/>
      <c r="N147" s="691"/>
    </row>
    <row r="148" spans="1:14" s="552" customFormat="1" ht="15">
      <c r="A148" s="546" t="e">
        <f>L_CViec!#REF!</f>
        <v>#REF!</v>
      </c>
      <c r="B148" s="559" t="e">
        <f>L_CViec!#REF!</f>
        <v>#REF!</v>
      </c>
      <c r="C148" s="548" t="e">
        <f>L_CViec!#REF!</f>
        <v>#REF!</v>
      </c>
      <c r="D148" s="548" t="e">
        <f>L_CViec!#REF!</f>
        <v>#REF!</v>
      </c>
      <c r="E148" s="548" t="e">
        <f>L_CViec!#REF!</f>
        <v>#REF!</v>
      </c>
      <c r="F148" s="548" t="e">
        <f>L_CViec!#REF!</f>
        <v>#REF!</v>
      </c>
      <c r="G148" s="548" t="e">
        <f>L_CViec!#REF!</f>
        <v>#REF!</v>
      </c>
      <c r="H148" s="550" t="e">
        <f>L_CViec!#REF!</f>
        <v>#REF!</v>
      </c>
      <c r="I148" s="550"/>
      <c r="J148" s="550"/>
      <c r="K148" s="551"/>
      <c r="M148" s="647"/>
      <c r="N148" s="639"/>
    </row>
    <row r="149" spans="1:14" s="558" customFormat="1" ht="15">
      <c r="A149" s="553" t="e">
        <f>L_CViec!#REF!</f>
        <v>#REF!</v>
      </c>
      <c r="B149" s="574" t="e">
        <f>L_CViec!#REF!</f>
        <v>#REF!</v>
      </c>
      <c r="C149" s="555" t="e">
        <f>L_CViec!#REF!</f>
        <v>#REF!</v>
      </c>
      <c r="D149" s="555" t="e">
        <f>L_CViec!#REF!</f>
        <v>#REF!</v>
      </c>
      <c r="E149" s="555" t="e">
        <f>L_CViec!#REF!</f>
        <v>#REF!</v>
      </c>
      <c r="F149" s="555" t="e">
        <f>L_CViec!#REF!</f>
        <v>#REF!</v>
      </c>
      <c r="G149" s="555" t="e">
        <f>L_CViec!#REF!</f>
        <v>#REF!</v>
      </c>
      <c r="H149" s="556" t="e">
        <f>L_CViec!#REF!</f>
        <v>#REF!</v>
      </c>
      <c r="I149" s="556" t="e">
        <f>G149*H149*L_CBac!$G$68</f>
        <v>#REF!</v>
      </c>
      <c r="J149" s="556" t="e">
        <f>$D149*$G149*L_CBac!$J$68</f>
        <v>#REF!</v>
      </c>
      <c r="K149" s="557" t="e">
        <f>$D149*$G149*L_CBac!$J$69</f>
        <v>#REF!</v>
      </c>
      <c r="M149" s="647"/>
      <c r="N149" s="639"/>
    </row>
    <row r="150" spans="1:14" s="558" customFormat="1" ht="15">
      <c r="A150" s="553" t="e">
        <f>L_CViec!#REF!</f>
        <v>#REF!</v>
      </c>
      <c r="B150" s="574" t="e">
        <f>L_CViec!#REF!</f>
        <v>#REF!</v>
      </c>
      <c r="C150" s="555" t="e">
        <f>L_CViec!#REF!</f>
        <v>#REF!</v>
      </c>
      <c r="D150" s="555" t="e">
        <f>L_CViec!#REF!</f>
        <v>#REF!</v>
      </c>
      <c r="E150" s="555" t="e">
        <f>L_CViec!#REF!</f>
        <v>#REF!</v>
      </c>
      <c r="F150" s="555" t="e">
        <f>L_CViec!#REF!</f>
        <v>#REF!</v>
      </c>
      <c r="G150" s="555" t="e">
        <f>L_CViec!#REF!</f>
        <v>#REF!</v>
      </c>
      <c r="H150" s="556" t="e">
        <f>L_CViec!#REF!</f>
        <v>#REF!</v>
      </c>
      <c r="I150" s="556" t="e">
        <f>G150*H150*L_CBac!$G$68</f>
        <v>#REF!</v>
      </c>
      <c r="J150" s="556" t="e">
        <f>$D150*$G150*L_CBac!$J$68</f>
        <v>#REF!</v>
      </c>
      <c r="K150" s="557" t="e">
        <f>$D150*$G150*L_CBac!$J$69</f>
        <v>#REF!</v>
      </c>
      <c r="M150" s="647"/>
      <c r="N150" s="639"/>
    </row>
    <row r="151" spans="1:14" s="552" customFormat="1" ht="15">
      <c r="A151" s="546" t="e">
        <f>L_CViec!#REF!</f>
        <v>#REF!</v>
      </c>
      <c r="B151" s="559" t="e">
        <f>L_CViec!#REF!</f>
        <v>#REF!</v>
      </c>
      <c r="C151" s="548" t="e">
        <f>L_CViec!#REF!</f>
        <v>#REF!</v>
      </c>
      <c r="D151" s="548" t="e">
        <f>L_CViec!#REF!</f>
        <v>#REF!</v>
      </c>
      <c r="E151" s="548" t="e">
        <f>L_CViec!#REF!</f>
        <v>#REF!</v>
      </c>
      <c r="F151" s="548" t="e">
        <f>L_CViec!#REF!</f>
        <v>#REF!</v>
      </c>
      <c r="G151" s="548" t="e">
        <f>L_CViec!#REF!</f>
        <v>#REF!</v>
      </c>
      <c r="H151" s="550" t="e">
        <f>L_CViec!#REF!</f>
        <v>#REF!</v>
      </c>
      <c r="I151" s="550" t="e">
        <f>G151*H151*L_CBac!$G$68</f>
        <v>#REF!</v>
      </c>
      <c r="J151" s="550" t="e">
        <f>$D151*$G151*L_CBac!$J$68</f>
        <v>#REF!</v>
      </c>
      <c r="K151" s="551" t="e">
        <f>$D151*$G151*L_CBac!$J$69</f>
        <v>#REF!</v>
      </c>
      <c r="M151" s="647"/>
      <c r="N151" s="639"/>
    </row>
    <row r="152" spans="1:14" s="552" customFormat="1" ht="15">
      <c r="A152" s="546" t="e">
        <f>L_CViec!#REF!</f>
        <v>#REF!</v>
      </c>
      <c r="B152" s="559" t="e">
        <f>L_CViec!#REF!</f>
        <v>#REF!</v>
      </c>
      <c r="C152" s="548" t="e">
        <f>L_CViec!#REF!</f>
        <v>#REF!</v>
      </c>
      <c r="D152" s="548" t="e">
        <f>L_CViec!#REF!</f>
        <v>#REF!</v>
      </c>
      <c r="E152" s="548" t="e">
        <f>L_CViec!#REF!</f>
        <v>#REF!</v>
      </c>
      <c r="F152" s="548" t="e">
        <f>L_CViec!#REF!</f>
        <v>#REF!</v>
      </c>
      <c r="G152" s="548" t="e">
        <f>L_CViec!#REF!</f>
        <v>#REF!</v>
      </c>
      <c r="H152" s="550" t="e">
        <f>L_CViec!#REF!</f>
        <v>#REF!</v>
      </c>
      <c r="I152" s="550" t="e">
        <f>G152*H152*L_CBac!$G$68</f>
        <v>#REF!</v>
      </c>
      <c r="J152" s="550" t="e">
        <f>$D152*$G152*L_CBac!$J$68</f>
        <v>#REF!</v>
      </c>
      <c r="K152" s="551" t="e">
        <f>$D152*$G152*L_CBac!$J$69</f>
        <v>#REF!</v>
      </c>
      <c r="M152" s="647"/>
      <c r="N152" s="639"/>
    </row>
    <row r="153" spans="1:14" s="552" customFormat="1" ht="15">
      <c r="A153" s="546" t="e">
        <f>L_CViec!#REF!</f>
        <v>#REF!</v>
      </c>
      <c r="B153" s="559" t="e">
        <f>L_CViec!#REF!</f>
        <v>#REF!</v>
      </c>
      <c r="C153" s="548" t="e">
        <f>L_CViec!#REF!</f>
        <v>#REF!</v>
      </c>
      <c r="D153" s="548" t="e">
        <f>L_CViec!#REF!</f>
        <v>#REF!</v>
      </c>
      <c r="E153" s="548" t="e">
        <f>L_CViec!#REF!</f>
        <v>#REF!</v>
      </c>
      <c r="F153" s="548" t="e">
        <f>L_CViec!#REF!</f>
        <v>#REF!</v>
      </c>
      <c r="G153" s="548" t="e">
        <f>L_CViec!#REF!</f>
        <v>#REF!</v>
      </c>
      <c r="H153" s="550" t="e">
        <f>L_CViec!#REF!</f>
        <v>#REF!</v>
      </c>
      <c r="I153" s="550" t="e">
        <f>G153*H153*L_CBac!$G$68</f>
        <v>#REF!</v>
      </c>
      <c r="J153" s="550" t="e">
        <f>$D153*$G153*L_CBac!$J$68</f>
        <v>#REF!</v>
      </c>
      <c r="K153" s="551" t="e">
        <f>$D153*$G153*L_CBac!$J$69</f>
        <v>#REF!</v>
      </c>
      <c r="M153" s="647"/>
      <c r="N153" s="639"/>
    </row>
    <row r="154" spans="1:14" s="552" customFormat="1" ht="15">
      <c r="A154" s="546" t="e">
        <f>L_CViec!#REF!</f>
        <v>#REF!</v>
      </c>
      <c r="B154" s="559" t="e">
        <f>L_CViec!#REF!</f>
        <v>#REF!</v>
      </c>
      <c r="C154" s="548" t="e">
        <f>L_CViec!#REF!</f>
        <v>#REF!</v>
      </c>
      <c r="D154" s="548" t="e">
        <f>L_CViec!#REF!</f>
        <v>#REF!</v>
      </c>
      <c r="E154" s="548" t="e">
        <f>L_CViec!#REF!</f>
        <v>#REF!</v>
      </c>
      <c r="F154" s="548" t="e">
        <f>L_CViec!#REF!</f>
        <v>#REF!</v>
      </c>
      <c r="G154" s="548" t="e">
        <f>L_CViec!#REF!</f>
        <v>#REF!</v>
      </c>
      <c r="H154" s="550" t="e">
        <f>L_CViec!#REF!</f>
        <v>#REF!</v>
      </c>
      <c r="I154" s="550" t="e">
        <f>I155+I158+I159</f>
        <v>#REF!</v>
      </c>
      <c r="J154" s="550" t="e">
        <f>J155+J158+J159</f>
        <v>#REF!</v>
      </c>
      <c r="K154" s="551" t="e">
        <f>K155+K158+K159</f>
        <v>#REF!</v>
      </c>
      <c r="M154" s="647"/>
      <c r="N154" s="639"/>
    </row>
    <row r="155" spans="1:14" s="558" customFormat="1" ht="15">
      <c r="A155" s="553" t="e">
        <f>L_CViec!#REF!</f>
        <v>#REF!</v>
      </c>
      <c r="B155" s="574" t="e">
        <f>L_CViec!#REF!</f>
        <v>#REF!</v>
      </c>
      <c r="C155" s="555" t="e">
        <f>L_CViec!#REF!</f>
        <v>#REF!</v>
      </c>
      <c r="D155" s="555" t="e">
        <f>L_CViec!#REF!</f>
        <v>#REF!</v>
      </c>
      <c r="E155" s="555" t="e">
        <f>L_CViec!#REF!</f>
        <v>#REF!</v>
      </c>
      <c r="F155" s="555" t="e">
        <f>L_CViec!#REF!</f>
        <v>#REF!</v>
      </c>
      <c r="G155" s="555" t="e">
        <f>L_CViec!#REF!</f>
        <v>#REF!</v>
      </c>
      <c r="H155" s="556" t="e">
        <f>L_CViec!#REF!</f>
        <v>#REF!</v>
      </c>
      <c r="I155" s="550" t="e">
        <f>SUM(I156:I157)</f>
        <v>#REF!</v>
      </c>
      <c r="J155" s="550" t="e">
        <f>SUM(J156:J157)</f>
        <v>#REF!</v>
      </c>
      <c r="K155" s="551" t="e">
        <f>SUM(K156:K157)</f>
        <v>#REF!</v>
      </c>
      <c r="M155" s="647"/>
      <c r="N155" s="639"/>
    </row>
    <row r="156" spans="1:14" s="558" customFormat="1" ht="20.100000000000001" customHeight="1">
      <c r="A156" s="553" t="e">
        <f>L_CViec!#REF!</f>
        <v>#REF!</v>
      </c>
      <c r="B156" s="574" t="e">
        <f>L_CViec!#REF!</f>
        <v>#REF!</v>
      </c>
      <c r="C156" s="555" t="e">
        <f>L_CViec!#REF!</f>
        <v>#REF!</v>
      </c>
      <c r="D156" s="555" t="e">
        <f>L_CViec!#REF!</f>
        <v>#REF!</v>
      </c>
      <c r="E156" s="555" t="e">
        <f>L_CViec!#REF!</f>
        <v>#REF!</v>
      </c>
      <c r="F156" s="555" t="e">
        <f>L_CViec!#REF!</f>
        <v>#REF!</v>
      </c>
      <c r="G156" s="555" t="e">
        <f>L_CViec!#REF!</f>
        <v>#REF!</v>
      </c>
      <c r="H156" s="556" t="e">
        <f>L_CViec!#REF!</f>
        <v>#REF!</v>
      </c>
      <c r="I156" s="556" t="e">
        <f>G156*H156*L_CBac!$G$68*2</f>
        <v>#REF!</v>
      </c>
      <c r="J156" s="556" t="e">
        <f>$D156*$G156*L_CBac!$J$68</f>
        <v>#REF!</v>
      </c>
      <c r="K156" s="557" t="e">
        <f>$D156*$G156*L_CBac!$J$69</f>
        <v>#REF!</v>
      </c>
      <c r="M156" s="647"/>
      <c r="N156" s="639"/>
    </row>
    <row r="157" spans="1:14" s="558" customFormat="1" ht="20.100000000000001" customHeight="1">
      <c r="A157" s="553" t="e">
        <f>L_CViec!#REF!</f>
        <v>#REF!</v>
      </c>
      <c r="B157" s="574" t="e">
        <f>L_CViec!#REF!</f>
        <v>#REF!</v>
      </c>
      <c r="C157" s="555" t="e">
        <f>L_CViec!#REF!</f>
        <v>#REF!</v>
      </c>
      <c r="D157" s="555" t="e">
        <f>L_CViec!#REF!</f>
        <v>#REF!</v>
      </c>
      <c r="E157" s="555" t="e">
        <f>L_CViec!#REF!</f>
        <v>#REF!</v>
      </c>
      <c r="F157" s="555" t="e">
        <f>L_CViec!#REF!</f>
        <v>#REF!</v>
      </c>
      <c r="G157" s="555" t="e">
        <f>L_CViec!#REF!</f>
        <v>#REF!</v>
      </c>
      <c r="H157" s="556" t="e">
        <f>L_CViec!#REF!</f>
        <v>#REF!</v>
      </c>
      <c r="I157" s="556" t="e">
        <f>G157*H157*L_CBac!$G$68*3</f>
        <v>#REF!</v>
      </c>
      <c r="J157" s="556" t="e">
        <f>$D157*$G157*L_CBac!$J$68</f>
        <v>#REF!</v>
      </c>
      <c r="K157" s="557" t="e">
        <f>$D157*$G157*L_CBac!$J$69</f>
        <v>#REF!</v>
      </c>
      <c r="M157" s="647"/>
      <c r="N157" s="639"/>
    </row>
    <row r="158" spans="1:14" s="558" customFormat="1" ht="15">
      <c r="A158" s="553" t="e">
        <f>L_CViec!#REF!</f>
        <v>#REF!</v>
      </c>
      <c r="B158" s="574" t="e">
        <f>L_CViec!#REF!</f>
        <v>#REF!</v>
      </c>
      <c r="C158" s="555" t="e">
        <f>L_CViec!#REF!</f>
        <v>#REF!</v>
      </c>
      <c r="D158" s="555" t="e">
        <f>L_CViec!#REF!</f>
        <v>#REF!</v>
      </c>
      <c r="E158" s="555" t="e">
        <f>L_CViec!#REF!</f>
        <v>#REF!</v>
      </c>
      <c r="F158" s="555" t="e">
        <f>L_CViec!#REF!</f>
        <v>#REF!</v>
      </c>
      <c r="G158" s="555" t="e">
        <f>L_CViec!#REF!</f>
        <v>#REF!</v>
      </c>
      <c r="H158" s="556" t="e">
        <f>L_CViec!#REF!</f>
        <v>#REF!</v>
      </c>
      <c r="I158" s="556" t="e">
        <f>G158*H158*L_CBac!$G$68*5</f>
        <v>#REF!</v>
      </c>
      <c r="J158" s="556" t="e">
        <f>$D158*$G158*L_CBac!$J$68</f>
        <v>#REF!</v>
      </c>
      <c r="K158" s="557" t="e">
        <f>$D158*$G158*L_CBac!$J$69</f>
        <v>#REF!</v>
      </c>
      <c r="M158" s="647"/>
      <c r="N158" s="639"/>
    </row>
    <row r="159" spans="1:14" s="558" customFormat="1" ht="15">
      <c r="A159" s="553" t="e">
        <f>L_CViec!#REF!</f>
        <v>#REF!</v>
      </c>
      <c r="B159" s="574" t="e">
        <f>L_CViec!#REF!</f>
        <v>#REF!</v>
      </c>
      <c r="C159" s="555" t="e">
        <f>L_CViec!#REF!</f>
        <v>#REF!</v>
      </c>
      <c r="D159" s="555" t="e">
        <f>L_CViec!#REF!</f>
        <v>#REF!</v>
      </c>
      <c r="E159" s="555" t="e">
        <f>L_CViec!#REF!</f>
        <v>#REF!</v>
      </c>
      <c r="F159" s="555" t="e">
        <f>L_CViec!#REF!</f>
        <v>#REF!</v>
      </c>
      <c r="G159" s="555" t="e">
        <f>L_CViec!#REF!</f>
        <v>#REF!</v>
      </c>
      <c r="H159" s="556" t="e">
        <f>L_CViec!#REF!</f>
        <v>#REF!</v>
      </c>
      <c r="I159" s="556" t="e">
        <f>G159*H159*L_CBac!$G$68</f>
        <v>#REF!</v>
      </c>
      <c r="J159" s="556" t="e">
        <f>$D159*$G159*L_CBac!$J$68</f>
        <v>#REF!</v>
      </c>
      <c r="K159" s="557" t="e">
        <f>$D159*$G159*L_CBac!$J$69</f>
        <v>#REF!</v>
      </c>
      <c r="M159" s="647"/>
      <c r="N159" s="639"/>
    </row>
    <row r="160" spans="1:14" s="552" customFormat="1" ht="15">
      <c r="A160" s="546" t="e">
        <f>L_CViec!#REF!</f>
        <v>#REF!</v>
      </c>
      <c r="B160" s="559" t="e">
        <f>L_CViec!#REF!</f>
        <v>#REF!</v>
      </c>
      <c r="C160" s="548" t="e">
        <f>L_CViec!#REF!</f>
        <v>#REF!</v>
      </c>
      <c r="D160" s="548" t="e">
        <f>L_CViec!#REF!</f>
        <v>#REF!</v>
      </c>
      <c r="E160" s="548" t="e">
        <f>L_CViec!#REF!</f>
        <v>#REF!</v>
      </c>
      <c r="F160" s="548" t="e">
        <f>L_CViec!#REF!</f>
        <v>#REF!</v>
      </c>
      <c r="G160" s="548" t="e">
        <f>L_CViec!#REF!</f>
        <v>#REF!</v>
      </c>
      <c r="H160" s="550" t="e">
        <f>L_CViec!#REF!</f>
        <v>#REF!</v>
      </c>
      <c r="I160" s="550" t="e">
        <f>G160*H160*L_CBac!$G$68</f>
        <v>#REF!</v>
      </c>
      <c r="J160" s="550" t="e">
        <f>$D160*$G160*L_CBac!$J$68</f>
        <v>#REF!</v>
      </c>
      <c r="K160" s="551" t="e">
        <f>$D160*$G160*L_CBac!$J$69</f>
        <v>#REF!</v>
      </c>
      <c r="M160" s="647"/>
      <c r="N160" s="639"/>
    </row>
    <row r="161" spans="1:14" s="552" customFormat="1" ht="15">
      <c r="A161" s="683" t="e">
        <f>L_CViec!#REF!</f>
        <v>#REF!</v>
      </c>
      <c r="B161" s="684" t="e">
        <f>L_CViec!#REF!</f>
        <v>#REF!</v>
      </c>
      <c r="C161" s="685" t="e">
        <f>L_CViec!#REF!</f>
        <v>#REF!</v>
      </c>
      <c r="D161" s="685" t="e">
        <f>L_CViec!#REF!</f>
        <v>#REF!</v>
      </c>
      <c r="E161" s="685" t="e">
        <f>L_CViec!#REF!</f>
        <v>#REF!</v>
      </c>
      <c r="F161" s="685" t="e">
        <f>L_CViec!#REF!</f>
        <v>#REF!</v>
      </c>
      <c r="G161" s="685" t="e">
        <f>L_CViec!#REF!</f>
        <v>#REF!</v>
      </c>
      <c r="H161" s="686" t="e">
        <f>L_CViec!#REF!</f>
        <v>#REF!</v>
      </c>
      <c r="I161" s="686" t="e">
        <f>G161*H161*L_CBac!$G$68/5000</f>
        <v>#REF!</v>
      </c>
      <c r="J161" s="550" t="e">
        <f>$D161*$G161*L_CBac!$J$68/5000</f>
        <v>#REF!</v>
      </c>
      <c r="K161" s="551" t="e">
        <f>$D161*$G161*L_CBac!$J$69/5000</f>
        <v>#REF!</v>
      </c>
      <c r="M161" s="690"/>
      <c r="N161" s="691"/>
    </row>
    <row r="162" spans="1:14" s="534" customFormat="1" ht="15">
      <c r="A162" s="687" t="e">
        <f>L_CViec!#REF!</f>
        <v>#REF!</v>
      </c>
      <c r="B162" s="682" t="e">
        <f>L_CViec!#REF!</f>
        <v>#REF!</v>
      </c>
      <c r="C162" s="682" t="e">
        <f>L_CViec!#REF!</f>
        <v>#REF!</v>
      </c>
      <c r="D162" s="682" t="e">
        <f>L_CViec!#REF!</f>
        <v>#REF!</v>
      </c>
      <c r="E162" s="682" t="e">
        <f>L_CViec!#REF!</f>
        <v>#REF!</v>
      </c>
      <c r="F162" s="682" t="e">
        <f>L_CViec!#REF!</f>
        <v>#REF!</v>
      </c>
      <c r="G162" s="682" t="e">
        <f>L_CViec!#REF!</f>
        <v>#REF!</v>
      </c>
      <c r="H162" s="627" t="e">
        <f>L_CViec!#REF!</f>
        <v>#REF!</v>
      </c>
      <c r="I162" s="532" t="e">
        <f>SUM(I163,I166,I169)</f>
        <v>#REF!</v>
      </c>
      <c r="J162" s="532" t="e">
        <f>SUM(J163,J166,J169)</f>
        <v>#REF!</v>
      </c>
      <c r="K162" s="533" t="e">
        <f>SUM(K163,K166,K169)</f>
        <v>#REF!</v>
      </c>
      <c r="M162" s="647"/>
      <c r="N162" s="639"/>
    </row>
    <row r="163" spans="1:14" s="552" customFormat="1" ht="15">
      <c r="A163" s="546" t="e">
        <f>L_CViec!#REF!</f>
        <v>#REF!</v>
      </c>
      <c r="B163" s="559" t="e">
        <f>L_CViec!#REF!</f>
        <v>#REF!</v>
      </c>
      <c r="C163" s="548" t="e">
        <f>L_CViec!#REF!</f>
        <v>#REF!</v>
      </c>
      <c r="D163" s="548" t="e">
        <f>L_CViec!#REF!</f>
        <v>#REF!</v>
      </c>
      <c r="E163" s="548" t="e">
        <f>L_CViec!#REF!</f>
        <v>#REF!</v>
      </c>
      <c r="F163" s="548" t="e">
        <f>L_CViec!#REF!</f>
        <v>#REF!</v>
      </c>
      <c r="G163" s="548" t="e">
        <f>L_CViec!#REF!</f>
        <v>#REF!</v>
      </c>
      <c r="H163" s="550" t="e">
        <f>L_CViec!#REF!</f>
        <v>#REF!</v>
      </c>
      <c r="I163" s="550" t="e">
        <f>SUM(I164:I165)</f>
        <v>#REF!</v>
      </c>
      <c r="J163" s="550" t="e">
        <f>SUM(J164:J165)</f>
        <v>#REF!</v>
      </c>
      <c r="K163" s="551" t="e">
        <f>SUM(K164:K165)</f>
        <v>#REF!</v>
      </c>
      <c r="M163" s="647"/>
      <c r="N163" s="639"/>
    </row>
    <row r="164" spans="1:14" s="646" customFormat="1" ht="15">
      <c r="A164" s="640" t="e">
        <f>L_CViec!#REF!</f>
        <v>#REF!</v>
      </c>
      <c r="B164" s="641" t="e">
        <f>L_CViec!#REF!</f>
        <v>#REF!</v>
      </c>
      <c r="C164" s="642" t="e">
        <f>L_CViec!#REF!</f>
        <v>#REF!</v>
      </c>
      <c r="D164" s="642" t="e">
        <f>L_CViec!#REF!</f>
        <v>#REF!</v>
      </c>
      <c r="E164" s="642" t="e">
        <f>L_CViec!#REF!</f>
        <v>#REF!</v>
      </c>
      <c r="F164" s="642" t="e">
        <f>L_CViec!#REF!</f>
        <v>#REF!</v>
      </c>
      <c r="G164" s="642" t="e">
        <f>L_CViec!#REF!</f>
        <v>#REF!</v>
      </c>
      <c r="H164" s="644" t="e">
        <f>L_CViec!#REF!</f>
        <v>#REF!</v>
      </c>
      <c r="I164" s="644" t="e">
        <f>G164*H164*L_CBac!$G$68/5000</f>
        <v>#REF!</v>
      </c>
      <c r="J164" s="636" t="e">
        <f>$D164*$G164*L_CBac!$J$68/5000</f>
        <v>#REF!</v>
      </c>
      <c r="K164" s="637" t="e">
        <f>$D164*$G164*L_CBac!$J$69/5000</f>
        <v>#REF!</v>
      </c>
      <c r="M164" s="647"/>
      <c r="N164" s="639"/>
    </row>
    <row r="165" spans="1:14" s="558" customFormat="1" ht="15">
      <c r="A165" s="553" t="e">
        <f>L_CViec!#REF!</f>
        <v>#REF!</v>
      </c>
      <c r="B165" s="574" t="e">
        <f>L_CViec!#REF!</f>
        <v>#REF!</v>
      </c>
      <c r="C165" s="555" t="e">
        <f>L_CViec!#REF!</f>
        <v>#REF!</v>
      </c>
      <c r="D165" s="555" t="e">
        <f>L_CViec!#REF!</f>
        <v>#REF!</v>
      </c>
      <c r="E165" s="555" t="e">
        <f>L_CViec!#REF!</f>
        <v>#REF!</v>
      </c>
      <c r="F165" s="555" t="e">
        <f>L_CViec!#REF!</f>
        <v>#REF!</v>
      </c>
      <c r="G165" s="555" t="e">
        <f>L_CViec!#REF!</f>
        <v>#REF!</v>
      </c>
      <c r="H165" s="556" t="e">
        <f>L_CViec!#REF!</f>
        <v>#REF!</v>
      </c>
      <c r="I165" s="556" t="e">
        <f>G165*H165*L_CBac!$G$68</f>
        <v>#REF!</v>
      </c>
      <c r="J165" s="550" t="e">
        <f>$D165*$G165*L_CBac!$J$68</f>
        <v>#REF!</v>
      </c>
      <c r="K165" s="551" t="e">
        <f>$D165*$G165*L_CBac!$J$69</f>
        <v>#REF!</v>
      </c>
      <c r="M165" s="647"/>
      <c r="N165" s="639"/>
    </row>
    <row r="166" spans="1:14" s="552" customFormat="1" ht="15">
      <c r="A166" s="546" t="e">
        <f>L_CViec!#REF!</f>
        <v>#REF!</v>
      </c>
      <c r="B166" s="559" t="e">
        <f>L_CViec!#REF!</f>
        <v>#REF!</v>
      </c>
      <c r="C166" s="548" t="e">
        <f>L_CViec!#REF!</f>
        <v>#REF!</v>
      </c>
      <c r="D166" s="548" t="e">
        <f>L_CViec!#REF!</f>
        <v>#REF!</v>
      </c>
      <c r="E166" s="548" t="e">
        <f>L_CViec!#REF!</f>
        <v>#REF!</v>
      </c>
      <c r="F166" s="548" t="e">
        <f>L_CViec!#REF!</f>
        <v>#REF!</v>
      </c>
      <c r="G166" s="548" t="e">
        <f>L_CViec!#REF!</f>
        <v>#REF!</v>
      </c>
      <c r="H166" s="550" t="e">
        <f>L_CViec!#REF!</f>
        <v>#REF!</v>
      </c>
      <c r="I166" s="550" t="e">
        <f>SUM(I167:I168)</f>
        <v>#REF!</v>
      </c>
      <c r="J166" s="550" t="e">
        <f>SUM(J167:J168)</f>
        <v>#REF!</v>
      </c>
      <c r="K166" s="551" t="e">
        <f>SUM(K167:K168)</f>
        <v>#REF!</v>
      </c>
      <c r="M166" s="647"/>
      <c r="N166" s="639"/>
    </row>
    <row r="167" spans="1:14" s="558" customFormat="1" ht="15">
      <c r="A167" s="553" t="e">
        <f>L_CViec!#REF!</f>
        <v>#REF!</v>
      </c>
      <c r="B167" s="574" t="e">
        <f>L_CViec!#REF!</f>
        <v>#REF!</v>
      </c>
      <c r="C167" s="555" t="e">
        <f>L_CViec!#REF!</f>
        <v>#REF!</v>
      </c>
      <c r="D167" s="555" t="e">
        <f>L_CViec!#REF!</f>
        <v>#REF!</v>
      </c>
      <c r="E167" s="555" t="e">
        <f>L_CViec!#REF!</f>
        <v>#REF!</v>
      </c>
      <c r="F167" s="555" t="e">
        <f>L_CViec!#REF!</f>
        <v>#REF!</v>
      </c>
      <c r="G167" s="555" t="e">
        <f>L_CViec!#REF!</f>
        <v>#REF!</v>
      </c>
      <c r="H167" s="556" t="e">
        <f>L_CViec!#REF!</f>
        <v>#REF!</v>
      </c>
      <c r="I167" s="556" t="e">
        <f>G167*H167*L_CBac!$G$68/5000*60*2</f>
        <v>#REF!</v>
      </c>
      <c r="J167" s="550" t="e">
        <f>$D167*$G167*L_CBac!$J$68/5000*60</f>
        <v>#REF!</v>
      </c>
      <c r="K167" s="551" t="e">
        <f>$D167*$G167*L_CBac!$J$69/5000*60</f>
        <v>#REF!</v>
      </c>
      <c r="M167" s="690"/>
      <c r="N167" s="691"/>
    </row>
    <row r="168" spans="1:14" s="558" customFormat="1" ht="15">
      <c r="A168" s="553" t="e">
        <f>L_CViec!#REF!</f>
        <v>#REF!</v>
      </c>
      <c r="B168" s="574" t="e">
        <f>L_CViec!#REF!</f>
        <v>#REF!</v>
      </c>
      <c r="C168" s="555" t="e">
        <f>L_CViec!#REF!</f>
        <v>#REF!</v>
      </c>
      <c r="D168" s="555" t="e">
        <f>L_CViec!#REF!</f>
        <v>#REF!</v>
      </c>
      <c r="E168" s="555" t="e">
        <f>L_CViec!#REF!</f>
        <v>#REF!</v>
      </c>
      <c r="F168" s="555" t="e">
        <f>L_CViec!#REF!</f>
        <v>#REF!</v>
      </c>
      <c r="G168" s="555" t="e">
        <f>L_CViec!#REF!</f>
        <v>#REF!</v>
      </c>
      <c r="H168" s="556" t="e">
        <f>L_CViec!#REF!</f>
        <v>#REF!</v>
      </c>
      <c r="I168" s="556" t="e">
        <f>G168*H168*L_CBac!$G$68/5000*3</f>
        <v>#REF!</v>
      </c>
      <c r="J168" s="550" t="e">
        <f>$D168*$G168*L_CBac!$J$68/5000</f>
        <v>#REF!</v>
      </c>
      <c r="K168" s="551" t="e">
        <f>$D168*$G168*L_CBac!$J$69/5000</f>
        <v>#REF!</v>
      </c>
      <c r="M168" s="690"/>
      <c r="N168" s="691"/>
    </row>
    <row r="169" spans="1:14" s="552" customFormat="1" ht="15">
      <c r="A169" s="683" t="e">
        <f>L_CViec!#REF!</f>
        <v>#REF!</v>
      </c>
      <c r="B169" s="684" t="e">
        <f>L_CViec!#REF!</f>
        <v>#REF!</v>
      </c>
      <c r="C169" s="685" t="e">
        <f>L_CViec!#REF!</f>
        <v>#REF!</v>
      </c>
      <c r="D169" s="685" t="e">
        <f>L_CViec!#REF!</f>
        <v>#REF!</v>
      </c>
      <c r="E169" s="685" t="e">
        <f>L_CViec!#REF!</f>
        <v>#REF!</v>
      </c>
      <c r="F169" s="685" t="e">
        <f>L_CViec!#REF!</f>
        <v>#REF!</v>
      </c>
      <c r="G169" s="685" t="e">
        <f>L_CViec!#REF!</f>
        <v>#REF!</v>
      </c>
      <c r="H169" s="686" t="e">
        <f>L_CViec!#REF!</f>
        <v>#REF!</v>
      </c>
      <c r="I169" s="686" t="e">
        <f>G169*H169*L_CBac!$G$68/5000*2</f>
        <v>#REF!</v>
      </c>
      <c r="J169" s="550" t="e">
        <f>$D169*$G169*L_CBac!$J$68/5000</f>
        <v>#REF!</v>
      </c>
      <c r="K169" s="551" t="e">
        <f>$D169*$G169*L_CBac!$J$69/5000</f>
        <v>#REF!</v>
      </c>
      <c r="M169" s="690"/>
      <c r="N169" s="691"/>
    </row>
    <row r="170" spans="1:14" s="552" customFormat="1" ht="15">
      <c r="A170" s="687" t="e">
        <f>L_CViec!#REF!</f>
        <v>#REF!</v>
      </c>
      <c r="B170" s="682" t="e">
        <f>L_CViec!#REF!</f>
        <v>#REF!</v>
      </c>
      <c r="C170" s="682" t="e">
        <f>L_CViec!#REF!</f>
        <v>#REF!</v>
      </c>
      <c r="D170" s="682"/>
      <c r="E170" s="682" t="e">
        <f>L_CViec!#REF!</f>
        <v>#REF!</v>
      </c>
      <c r="F170" s="682" t="e">
        <f>L_CViec!#REF!</f>
        <v>#REF!</v>
      </c>
      <c r="G170" s="682" t="e">
        <f>L_CViec!#REF!</f>
        <v>#REF!</v>
      </c>
      <c r="H170" s="627" t="e">
        <f>L_CViec!#REF!</f>
        <v>#REF!</v>
      </c>
      <c r="I170" s="688"/>
      <c r="J170" s="688"/>
      <c r="K170" s="689"/>
    </row>
    <row r="171" spans="1:14" s="552" customFormat="1" ht="50.1" customHeight="1">
      <c r="A171" s="676" t="e">
        <f>L_CViec!#REF!</f>
        <v>#REF!</v>
      </c>
      <c r="B171" s="1736" t="e">
        <f>L_CViec!#REF!</f>
        <v>#REF!</v>
      </c>
      <c r="C171" s="1737"/>
      <c r="D171" s="1737"/>
      <c r="E171" s="1737"/>
      <c r="F171" s="1737"/>
      <c r="G171" s="1737"/>
      <c r="H171" s="1737"/>
      <c r="I171" s="1737"/>
      <c r="J171" s="1737"/>
      <c r="K171" s="1738"/>
    </row>
    <row r="172" spans="1:14" s="552" customFormat="1" ht="50.1" customHeight="1">
      <c r="A172" s="676" t="e">
        <f>L_CViec!#REF!</f>
        <v>#REF!</v>
      </c>
      <c r="B172" s="1736" t="e">
        <f>L_CViec!#REF!</f>
        <v>#REF!</v>
      </c>
      <c r="C172" s="1737"/>
      <c r="D172" s="1737"/>
      <c r="E172" s="1737"/>
      <c r="F172" s="1737"/>
      <c r="G172" s="1737"/>
      <c r="H172" s="1737"/>
      <c r="I172" s="1737"/>
      <c r="J172" s="1737"/>
      <c r="K172" s="1738"/>
    </row>
    <row r="173" spans="1:14" s="552" customFormat="1" ht="39.6" customHeight="1">
      <c r="A173" s="676" t="e">
        <f>L_CViec!#REF!</f>
        <v>#REF!</v>
      </c>
      <c r="B173" s="1736" t="e">
        <f>L_CViec!#REF!</f>
        <v>#REF!</v>
      </c>
      <c r="C173" s="1737"/>
      <c r="D173" s="1737"/>
      <c r="E173" s="1737"/>
      <c r="F173" s="1737"/>
      <c r="G173" s="1737"/>
      <c r="H173" s="1737"/>
      <c r="I173" s="1737"/>
      <c r="J173" s="1737"/>
      <c r="K173" s="1738"/>
    </row>
    <row r="174" spans="1:14" s="552" customFormat="1" ht="28.15" customHeight="1">
      <c r="A174" s="676" t="e">
        <f>L_CViec!#REF!</f>
        <v>#REF!</v>
      </c>
      <c r="B174" s="1736" t="e">
        <f>L_CViec!#REF!</f>
        <v>#REF!</v>
      </c>
      <c r="C174" s="1737"/>
      <c r="D174" s="1737"/>
      <c r="E174" s="1737"/>
      <c r="F174" s="1737"/>
      <c r="G174" s="1737"/>
      <c r="H174" s="1737"/>
      <c r="I174" s="1737"/>
      <c r="J174" s="1737"/>
      <c r="K174" s="1738"/>
    </row>
    <row r="175" spans="1:14" s="552" customFormat="1" ht="28.15" customHeight="1">
      <c r="A175" s="676" t="e">
        <f>L_CViec!#REF!</f>
        <v>#REF!</v>
      </c>
      <c r="B175" s="1736" t="e">
        <f>L_CViec!#REF!</f>
        <v>#REF!</v>
      </c>
      <c r="C175" s="1737"/>
      <c r="D175" s="1737"/>
      <c r="E175" s="1737"/>
      <c r="F175" s="1737"/>
      <c r="G175" s="1737"/>
      <c r="H175" s="1737"/>
      <c r="I175" s="1737"/>
      <c r="J175" s="1737"/>
      <c r="K175" s="1738"/>
    </row>
    <row r="176" spans="1:14" s="552" customFormat="1" ht="50.1" customHeight="1">
      <c r="A176" s="676" t="e">
        <f>L_CViec!#REF!</f>
        <v>#REF!</v>
      </c>
      <c r="B176" s="1736" t="e">
        <f>L_CViec!#REF!</f>
        <v>#REF!</v>
      </c>
      <c r="C176" s="1737"/>
      <c r="D176" s="1737"/>
      <c r="E176" s="1737"/>
      <c r="F176" s="1737"/>
      <c r="G176" s="1737"/>
      <c r="H176" s="1737"/>
      <c r="I176" s="1737"/>
      <c r="J176" s="1737"/>
      <c r="K176" s="1738"/>
    </row>
    <row r="177" spans="1:11" s="552" customFormat="1" ht="28.15" customHeight="1">
      <c r="A177" s="546" t="e">
        <f>L_CViec!#REF!</f>
        <v>#REF!</v>
      </c>
      <c r="B177" s="1733" t="e">
        <f>L_CViec!#REF!</f>
        <v>#REF!</v>
      </c>
      <c r="C177" s="1734"/>
      <c r="D177" s="1734"/>
      <c r="E177" s="1734"/>
      <c r="F177" s="1734"/>
      <c r="G177" s="1734"/>
      <c r="H177" s="1734"/>
      <c r="I177" s="1734"/>
      <c r="J177" s="1734"/>
      <c r="K177" s="1735"/>
    </row>
    <row r="178" spans="1:11" s="552" customFormat="1" ht="28.15" customHeight="1">
      <c r="A178" s="546" t="e">
        <f>L_CViec!#REF!</f>
        <v>#REF!</v>
      </c>
      <c r="B178" s="1733" t="e">
        <f>L_CViec!#REF!</f>
        <v>#REF!</v>
      </c>
      <c r="C178" s="1734"/>
      <c r="D178" s="1734"/>
      <c r="E178" s="1734"/>
      <c r="F178" s="1734"/>
      <c r="G178" s="1734"/>
      <c r="H178" s="1734"/>
      <c r="I178" s="1734"/>
      <c r="J178" s="1734"/>
      <c r="K178" s="1735"/>
    </row>
    <row r="179" spans="1:11" s="728" customFormat="1" ht="19.5" customHeight="1">
      <c r="A179" s="725" t="str">
        <f>L_CViec!A209</f>
        <v>IV</v>
      </c>
      <c r="B179" s="1711" t="str">
        <f>L_CViec!B209</f>
        <v>Định mức lao động đăng ký, cấp đổi Giấy chứng nhận đồng loạt tại xã, phường</v>
      </c>
      <c r="C179" s="1712"/>
      <c r="D179" s="1712"/>
      <c r="E179" s="1712"/>
      <c r="F179" s="1712"/>
      <c r="G179" s="1712"/>
      <c r="H179" s="1712"/>
      <c r="I179" s="1713"/>
      <c r="J179" s="726"/>
      <c r="K179" s="727" t="s">
        <v>342</v>
      </c>
    </row>
    <row r="180" spans="1:11" s="728" customFormat="1" ht="14.25">
      <c r="A180" s="1714" t="str">
        <f>L_CViec!A210</f>
        <v>IV.1</v>
      </c>
      <c r="B180" s="1717" t="str">
        <f>L_CViec!B210</f>
        <v>CÁC NỘI DUNG THỰC HIỆN TẠI ĐỊA BÀN XÃ, PHƯỜNG</v>
      </c>
      <c r="C180" s="729"/>
      <c r="D180" s="729"/>
      <c r="E180" s="729">
        <f>L_CViec!AC210</f>
        <v>0</v>
      </c>
      <c r="F180" s="1720">
        <v>1</v>
      </c>
      <c r="G180" s="729">
        <f>L_CViec!AE210</f>
        <v>0</v>
      </c>
      <c r="H180" s="730">
        <f>L_CViec!AF210</f>
        <v>0</v>
      </c>
      <c r="I180" s="731" t="e">
        <f>SUM(I$186,I$196,I$197,I198,I$205,I$208,I$210,I$212,I$214,I$215)</f>
        <v>#REF!</v>
      </c>
      <c r="J180" s="731" t="e">
        <f t="shared" ref="J180:K184" si="2">SUM(J$186,J$196,J$197,J198,J$205,J$208,J$210,J$212,J$214,J$215)</f>
        <v>#REF!</v>
      </c>
      <c r="K180" s="732" t="e">
        <f t="shared" si="2"/>
        <v>#REF!</v>
      </c>
    </row>
    <row r="181" spans="1:11" s="728" customFormat="1" ht="15" customHeight="1">
      <c r="A181" s="1715"/>
      <c r="B181" s="1718"/>
      <c r="C181" s="733"/>
      <c r="D181" s="733"/>
      <c r="E181" s="733"/>
      <c r="F181" s="1721"/>
      <c r="G181" s="733"/>
      <c r="H181" s="734"/>
      <c r="I181" s="735" t="e">
        <f>SUM(I$187,I199)</f>
        <v>#REF!</v>
      </c>
      <c r="J181" s="735">
        <f t="shared" ref="J181:K185" si="3">SUM(J$187,J199)</f>
        <v>0</v>
      </c>
      <c r="K181" s="736">
        <f t="shared" si="3"/>
        <v>0</v>
      </c>
    </row>
    <row r="182" spans="1:11" s="728" customFormat="1" ht="15" customHeight="1">
      <c r="A182" s="1715"/>
      <c r="B182" s="1718"/>
      <c r="C182" s="733"/>
      <c r="D182" s="733"/>
      <c r="E182" s="733"/>
      <c r="F182" s="1722">
        <v>2</v>
      </c>
      <c r="G182" s="733"/>
      <c r="H182" s="734"/>
      <c r="I182" s="735" t="e">
        <f>SUM(I$186,I$196,I$197,I200,I$205,I$208,I$210,I$212,I$214,I$215)</f>
        <v>#REF!</v>
      </c>
      <c r="J182" s="735" t="e">
        <f t="shared" si="2"/>
        <v>#REF!</v>
      </c>
      <c r="K182" s="736" t="e">
        <f t="shared" si="2"/>
        <v>#REF!</v>
      </c>
    </row>
    <row r="183" spans="1:11" s="728" customFormat="1" ht="15" customHeight="1">
      <c r="A183" s="1715"/>
      <c r="B183" s="1718"/>
      <c r="C183" s="733"/>
      <c r="D183" s="733"/>
      <c r="E183" s="733"/>
      <c r="F183" s="1721"/>
      <c r="G183" s="733"/>
      <c r="H183" s="734"/>
      <c r="I183" s="735" t="e">
        <f>SUM(I$187,I201)</f>
        <v>#REF!</v>
      </c>
      <c r="J183" s="735">
        <f t="shared" si="3"/>
        <v>0</v>
      </c>
      <c r="K183" s="736">
        <f t="shared" si="3"/>
        <v>0</v>
      </c>
    </row>
    <row r="184" spans="1:11" s="728" customFormat="1" ht="15" customHeight="1">
      <c r="A184" s="1715"/>
      <c r="B184" s="1718"/>
      <c r="C184" s="733"/>
      <c r="D184" s="733"/>
      <c r="E184" s="733"/>
      <c r="F184" s="1722">
        <v>3</v>
      </c>
      <c r="G184" s="733"/>
      <c r="H184" s="734"/>
      <c r="I184" s="735" t="e">
        <f>SUM(I$186,I$196,I$197,I202,I$205,I$208,I$210,I$212,I$214,I$215)</f>
        <v>#REF!</v>
      </c>
      <c r="J184" s="735" t="e">
        <f t="shared" si="2"/>
        <v>#REF!</v>
      </c>
      <c r="K184" s="736" t="e">
        <f t="shared" si="2"/>
        <v>#REF!</v>
      </c>
    </row>
    <row r="185" spans="1:11" s="728" customFormat="1" ht="15" customHeight="1">
      <c r="A185" s="1716"/>
      <c r="B185" s="1719"/>
      <c r="C185" s="737"/>
      <c r="D185" s="737"/>
      <c r="E185" s="737"/>
      <c r="F185" s="1723"/>
      <c r="G185" s="737"/>
      <c r="H185" s="738"/>
      <c r="I185" s="735" t="e">
        <f>SUM(I$187,I203)</f>
        <v>#REF!</v>
      </c>
      <c r="J185" s="735">
        <f t="shared" si="3"/>
        <v>0</v>
      </c>
      <c r="K185" s="736">
        <f t="shared" si="3"/>
        <v>0</v>
      </c>
    </row>
    <row r="186" spans="1:11" s="744" customFormat="1" ht="17.25" customHeight="1">
      <c r="A186" s="739" t="str">
        <f>L_CViec!A211</f>
        <v>1</v>
      </c>
      <c r="B186" s="740" t="str">
        <f>L_CViec!B211</f>
        <v>Công việc chuẩn bị</v>
      </c>
      <c r="C186" s="740">
        <f>L_CViec!AB211</f>
        <v>0</v>
      </c>
      <c r="D186" s="740"/>
      <c r="E186" s="741" t="s">
        <v>353</v>
      </c>
      <c r="F186" s="741">
        <f>L_CViec!AD211</f>
        <v>0</v>
      </c>
      <c r="G186" s="740">
        <f>L_CViec!AE211</f>
        <v>0</v>
      </c>
      <c r="H186" s="742">
        <f>L_CViec!AF211</f>
        <v>0</v>
      </c>
      <c r="I186" s="742">
        <f>SUM(I188,I190,I191,I194)</f>
        <v>40685.901749999997</v>
      </c>
      <c r="J186" s="742">
        <f>SUM(J188,J190,J191,J194)</f>
        <v>3019.8065624999999</v>
      </c>
      <c r="K186" s="743">
        <f>SUM(K188,K190,K191,K194)</f>
        <v>3316.586538461539</v>
      </c>
    </row>
    <row r="187" spans="1:11" s="744" customFormat="1" ht="17.25" customHeight="1">
      <c r="A187" s="745"/>
      <c r="B187" s="746"/>
      <c r="C187" s="747"/>
      <c r="D187" s="747"/>
      <c r="E187" s="747" t="s">
        <v>202</v>
      </c>
      <c r="F187" s="747">
        <f>L_CViec!AD211</f>
        <v>0</v>
      </c>
      <c r="G187" s="747">
        <f>L_CViec!AE211</f>
        <v>0</v>
      </c>
      <c r="H187" s="748">
        <f>L_CViec!AF211</f>
        <v>0</v>
      </c>
      <c r="I187" s="748">
        <f>I189+I192</f>
        <v>1176.8149038461538</v>
      </c>
      <c r="J187" s="748">
        <f>J189</f>
        <v>0</v>
      </c>
      <c r="K187" s="749">
        <f>K189</f>
        <v>0</v>
      </c>
    </row>
    <row r="188" spans="1:11" s="755" customFormat="1" ht="27" customHeight="1">
      <c r="A188" s="750" t="str">
        <f>L_CViec!A212</f>
        <v>1.1</v>
      </c>
      <c r="B188" s="751" t="str">
        <f>L_CViec!B212</f>
        <v>Chuẩn bị địa điểm đăng ký</v>
      </c>
      <c r="C188" s="752" t="str">
        <f>L_CViec!AB212</f>
        <v>Điểm</v>
      </c>
      <c r="D188" s="752">
        <f>L_CViec!AA212</f>
        <v>2</v>
      </c>
      <c r="E188" s="752" t="str">
        <f>L_CViec!AC212</f>
        <v>1KS2, 1KTV4</v>
      </c>
      <c r="F188" s="752" t="str">
        <f>L_CViec!AD212</f>
        <v>1-3</v>
      </c>
      <c r="G188" s="752">
        <f>L_CViec!AE212</f>
        <v>2</v>
      </c>
      <c r="H188" s="753">
        <f>L_CViec!AF212</f>
        <v>570199.5</v>
      </c>
      <c r="I188" s="753">
        <f>G188*H188*L_CBac!$G$68*10/8000</f>
        <v>1639.3235624999998</v>
      </c>
      <c r="J188" s="753">
        <f>$D188*G188*L_CBac!$J$68*10/8000</f>
        <v>127.82250000000001</v>
      </c>
      <c r="K188" s="754">
        <f>$D188*$G188*L_CBac!$J$69*10/8000</f>
        <v>140.38461538461539</v>
      </c>
    </row>
    <row r="189" spans="1:11" s="755" customFormat="1" ht="17.25" customHeight="1">
      <c r="A189" s="750">
        <f>L_CViec!A213</f>
        <v>0</v>
      </c>
      <c r="B189" s="751">
        <f>L_CViec!B213</f>
        <v>0</v>
      </c>
      <c r="C189" s="752">
        <f>L_CViec!AB213</f>
        <v>0</v>
      </c>
      <c r="D189" s="752">
        <f>L_CViec!AA213</f>
        <v>1</v>
      </c>
      <c r="E189" s="752" t="str">
        <f>L_CViec!AC213</f>
        <v>LĐPT</v>
      </c>
      <c r="F189" s="752">
        <f>L_CViec!AD213</f>
        <v>0</v>
      </c>
      <c r="G189" s="752">
        <f>L_CViec!AE213</f>
        <v>2</v>
      </c>
      <c r="H189" s="753">
        <f>L_CViec!AF213</f>
        <v>181923.07692307694</v>
      </c>
      <c r="I189" s="753">
        <f>G189*H189*L_CBac!$G$68*10/8000</f>
        <v>523.02884615384619</v>
      </c>
      <c r="J189" s="753"/>
      <c r="K189" s="754"/>
    </row>
    <row r="190" spans="1:11" s="755" customFormat="1" ht="45">
      <c r="A190" s="750" t="str">
        <f>L_CViec!A214</f>
        <v>1.2</v>
      </c>
      <c r="B190" s="751" t="str">
        <f>L_CViec!B214</f>
        <v>Chuẩn bị các tài liệu, bản đồ, mẫu đơn đề nghị đăng ký, cấp GCN, danh sách các trường hợp sử dụng đất theo địa điểm</v>
      </c>
      <c r="C190" s="752" t="str">
        <f>L_CViec!AB214</f>
        <v>Bộ tài liệu</v>
      </c>
      <c r="D190" s="752">
        <f>L_CViec!AA214</f>
        <v>3</v>
      </c>
      <c r="E190" s="752" t="str">
        <f>L_CViec!AC214</f>
        <v>1KS3, 1KS2, 1KTV4</v>
      </c>
      <c r="F190" s="752" t="str">
        <f>L_CViec!AD214</f>
        <v>1-3</v>
      </c>
      <c r="G190" s="752">
        <f>L_CViec!AE214</f>
        <v>16</v>
      </c>
      <c r="H190" s="753">
        <f>L_CViec!AF214</f>
        <v>903649.5</v>
      </c>
      <c r="I190" s="753">
        <f>G190*H190*L_CBac!$G$68*10/8000</f>
        <v>20783.9385</v>
      </c>
      <c r="J190" s="753">
        <f>$D190*G190*L_CBac!$J$68*10/8000</f>
        <v>1533.87</v>
      </c>
      <c r="K190" s="754">
        <f>$D190*$G190*L_CBac!$J$69*10/8000</f>
        <v>1684.6153846153848</v>
      </c>
    </row>
    <row r="191" spans="1:11" s="755" customFormat="1" ht="30">
      <c r="A191" s="750" t="str">
        <f>L_CViec!A215</f>
        <v>1.3</v>
      </c>
      <c r="B191" s="751" t="str">
        <f>L_CViec!B215</f>
        <v>Tổ chức phổ biến, tuyên truyền chủ trương, chính sách về đăng ký, cấp GCN</v>
      </c>
      <c r="C191" s="752" t="str">
        <f>L_CViec!AB215</f>
        <v>Cuộc</v>
      </c>
      <c r="D191" s="752">
        <f>L_CViec!AA215</f>
        <v>1</v>
      </c>
      <c r="E191" s="752" t="str">
        <f>L_CViec!AC215</f>
        <v>1KS3</v>
      </c>
      <c r="F191" s="752" t="str">
        <f>L_CViec!AD215</f>
        <v>1-3</v>
      </c>
      <c r="G191" s="752">
        <f>L_CViec!AE215</f>
        <v>2.5</v>
      </c>
      <c r="H191" s="753">
        <f>L_CViec!AF215</f>
        <v>333450</v>
      </c>
      <c r="I191" s="753">
        <f>G191*H191*L_CBac!$G$68*10/8000</f>
        <v>1198.3359374999998</v>
      </c>
      <c r="J191" s="753">
        <f>$D191*G191*L_CBac!$J$68*10/8000</f>
        <v>79.889062499999994</v>
      </c>
      <c r="K191" s="754">
        <f>$D191*$G191*L_CBac!$J$69*10/8000</f>
        <v>87.740384615384613</v>
      </c>
    </row>
    <row r="192" spans="1:11" s="755" customFormat="1" ht="15">
      <c r="A192" s="750">
        <f>L_CViec!A216</f>
        <v>0</v>
      </c>
      <c r="B192" s="751">
        <f>L_CViec!B216</f>
        <v>0</v>
      </c>
      <c r="C192" s="752">
        <f>L_CViec!AB216</f>
        <v>0</v>
      </c>
      <c r="D192" s="752">
        <f>L_CViec!AA216</f>
        <v>1</v>
      </c>
      <c r="E192" s="752" t="str">
        <f>L_CViec!AC216</f>
        <v>LĐPT</v>
      </c>
      <c r="F192" s="752">
        <f>L_CViec!AD216</f>
        <v>0</v>
      </c>
      <c r="G192" s="752">
        <f>L_CViec!AE216</f>
        <v>2.5</v>
      </c>
      <c r="H192" s="753">
        <f>L_CViec!AF216</f>
        <v>181923.07692307694</v>
      </c>
      <c r="I192" s="753">
        <f>G192*H192*L_CBac!$G$68*10/8000</f>
        <v>653.78605769230774</v>
      </c>
      <c r="J192" s="753"/>
      <c r="K192" s="754"/>
    </row>
    <row r="193" spans="1:11" s="761" customFormat="1" ht="15">
      <c r="A193" s="756" t="str">
        <f>L_CViec!A217</f>
        <v>1.4</v>
      </c>
      <c r="B193" s="757" t="str">
        <f>L_CViec!B217</f>
        <v>Hướng dẫn lập hồ sơ đề nghị đăng ký, cấp đổi GCN</v>
      </c>
      <c r="C193" s="758">
        <f>L_CViec!AB217</f>
        <v>0</v>
      </c>
      <c r="D193" s="758">
        <f>L_CViec!AA217</f>
        <v>0</v>
      </c>
      <c r="E193" s="758">
        <f>L_CViec!AC217</f>
        <v>0</v>
      </c>
      <c r="F193" s="758">
        <f>L_CViec!AD217</f>
        <v>0</v>
      </c>
      <c r="G193" s="758">
        <f>L_CViec!AE217</f>
        <v>0</v>
      </c>
      <c r="H193" s="759">
        <f>L_CViec!AF217</f>
        <v>0</v>
      </c>
      <c r="I193" s="759"/>
      <c r="J193" s="759"/>
      <c r="K193" s="760"/>
    </row>
    <row r="194" spans="1:11" s="767" customFormat="1" ht="15">
      <c r="A194" s="762" t="str">
        <f>L_CViec!A218</f>
        <v>1.4.1</v>
      </c>
      <c r="B194" s="763" t="str">
        <f>L_CViec!B218</f>
        <v>Theo hình thức trực tiếp</v>
      </c>
      <c r="C194" s="764" t="str">
        <f>L_CViec!AB218</f>
        <v>Hồ sơ</v>
      </c>
      <c r="D194" s="764">
        <f>L_CViec!AA218</f>
        <v>1</v>
      </c>
      <c r="E194" s="764" t="str">
        <f>L_CViec!AC218</f>
        <v>1KS2</v>
      </c>
      <c r="F194" s="764" t="str">
        <f>L_CViec!AD218</f>
        <v>1-3</v>
      </c>
      <c r="G194" s="764">
        <f>L_CViec!AE218</f>
        <v>0.05</v>
      </c>
      <c r="H194" s="765">
        <f>L_CViec!AF218</f>
        <v>296770.5</v>
      </c>
      <c r="I194" s="765">
        <f>G194*H194*L_CBac!$G$68</f>
        <v>17064.303749999999</v>
      </c>
      <c r="J194" s="765">
        <f>$D194*G194*L_CBac!$J$68</f>
        <v>1278.2250000000001</v>
      </c>
      <c r="K194" s="766">
        <f>$D194*$G194*L_CBac!$J$69</f>
        <v>1403.846153846154</v>
      </c>
    </row>
    <row r="195" spans="1:11" s="767" customFormat="1" ht="15">
      <c r="A195" s="762" t="str">
        <f>L_CViec!A219</f>
        <v>1.4.2</v>
      </c>
      <c r="B195" s="763" t="str">
        <f>L_CViec!B219</f>
        <v>Theo hình thức trực tuyến</v>
      </c>
      <c r="C195" s="764" t="str">
        <f>L_CViec!AB219</f>
        <v>Hồ sơ</v>
      </c>
      <c r="D195" s="764">
        <f>L_CViec!AA219</f>
        <v>1</v>
      </c>
      <c r="E195" s="764" t="str">
        <f>L_CViec!AC219</f>
        <v>1KS2</v>
      </c>
      <c r="F195" s="764" t="str">
        <f>L_CViec!AD219</f>
        <v>1-3</v>
      </c>
      <c r="G195" s="764">
        <f>L_CViec!AE219</f>
        <v>2.5000000000000001E-2</v>
      </c>
      <c r="H195" s="765">
        <f>L_CViec!AF219</f>
        <v>296770.5</v>
      </c>
      <c r="I195" s="765">
        <f>G195*H195*L_CBac!$G$68</f>
        <v>8532.1518749999996</v>
      </c>
      <c r="J195" s="765">
        <f>$D195*G195*L_CBac!$J$68</f>
        <v>639.11250000000007</v>
      </c>
      <c r="K195" s="766">
        <f>$D195*$G195*L_CBac!$J$69</f>
        <v>701.92307692307702</v>
      </c>
    </row>
    <row r="196" spans="1:11" s="761" customFormat="1" ht="45">
      <c r="A196" s="756" t="str">
        <f>L_CViec!A220</f>
        <v>2</v>
      </c>
      <c r="B196" s="757" t="str">
        <f>L_CViec!B220</f>
        <v>Nhận, kiểm tra tính đầy đủ của thành phần hồ sơ và cấp Giấy tiếp nhận hồ sơ và hẹn trả kết quả hoặc trả lại hồ sơ, vào sổ theo dõi nhận, trả hồ sơ (theo hình thức trực tiếp, trực tuyến)</v>
      </c>
      <c r="C196" s="758" t="str">
        <f>L_CViec!AB220</f>
        <v>Hồ sơ</v>
      </c>
      <c r="D196" s="758">
        <f>L_CViec!AA220</f>
        <v>1</v>
      </c>
      <c r="E196" s="758" t="str">
        <f>L_CViec!AC220</f>
        <v>1KS2</v>
      </c>
      <c r="F196" s="758" t="str">
        <f>L_CViec!AD220</f>
        <v>1-3</v>
      </c>
      <c r="G196" s="757">
        <f>L_CViec!AE220</f>
        <v>0.05</v>
      </c>
      <c r="H196" s="759">
        <f>L_CViec!AF220</f>
        <v>296770.5</v>
      </c>
      <c r="I196" s="759">
        <f>G196*H196*L_CBac!$G$68</f>
        <v>17064.303749999999</v>
      </c>
      <c r="J196" s="759">
        <f>$D196*G196*L_CBac!$J$68</f>
        <v>1278.2250000000001</v>
      </c>
      <c r="K196" s="760">
        <f>$D196*$G196*L_CBac!$J$69</f>
        <v>1403.846153846154</v>
      </c>
    </row>
    <row r="197" spans="1:11" s="761" customFormat="1" ht="30">
      <c r="A197" s="756" t="str">
        <f>L_CViec!A221</f>
        <v>3</v>
      </c>
      <c r="B197" s="757" t="str">
        <f>L_CViec!B221</f>
        <v>Tạo tệp (File) dữ liệu hồ sơ số và nhập thông tin do người sử dụng đất kê khai, đăng ký</v>
      </c>
      <c r="C197" s="758" t="str">
        <f>L_CViec!AB221</f>
        <v>Thửa</v>
      </c>
      <c r="D197" s="758">
        <f>L_CViec!AA221</f>
        <v>1</v>
      </c>
      <c r="E197" s="758" t="str">
        <f>L_CViec!AC221</f>
        <v>1KS3</v>
      </c>
      <c r="F197" s="758" t="str">
        <f>L_CViec!AD221</f>
        <v>1-3</v>
      </c>
      <c r="G197" s="758">
        <f>L_CViec!AE221</f>
        <v>0.107</v>
      </c>
      <c r="H197" s="759">
        <f>L_CViec!AF221</f>
        <v>333450</v>
      </c>
      <c r="I197" s="759">
        <f>G197*H197*L_CBac!$G$68</f>
        <v>41031.022499999999</v>
      </c>
      <c r="J197" s="759">
        <f>$D197*G197*L_CBac!$J$68</f>
        <v>2735.4014999999999</v>
      </c>
      <c r="K197" s="760">
        <f>$D197*$G197*L_CBac!$J$69</f>
        <v>3004.2307692307695</v>
      </c>
    </row>
    <row r="198" spans="1:11" s="761" customFormat="1" ht="15">
      <c r="A198" s="756" t="e">
        <f>L_CViec!#REF!</f>
        <v>#REF!</v>
      </c>
      <c r="B198" s="757" t="e">
        <f>L_CViec!#REF!</f>
        <v>#REF!</v>
      </c>
      <c r="C198" s="758" t="e">
        <f>L_CViec!#REF!</f>
        <v>#REF!</v>
      </c>
      <c r="D198" s="758" t="e">
        <f>L_CViec!#REF!</f>
        <v>#REF!</v>
      </c>
      <c r="E198" s="758" t="e">
        <f>L_CViec!#REF!</f>
        <v>#REF!</v>
      </c>
      <c r="F198" s="758" t="e">
        <f>L_CViec!#REF!</f>
        <v>#REF!</v>
      </c>
      <c r="G198" s="758" t="e">
        <f>L_CViec!#REF!</f>
        <v>#REF!</v>
      </c>
      <c r="H198" s="759" t="e">
        <f>L_CViec!#REF!</f>
        <v>#REF!</v>
      </c>
      <c r="I198" s="759" t="e">
        <f>G198*H198*L_CBac!$G$68</f>
        <v>#REF!</v>
      </c>
      <c r="J198" s="759" t="e">
        <f>$D198*G198*L_CBac!$J$68</f>
        <v>#REF!</v>
      </c>
      <c r="K198" s="760" t="e">
        <f>$D198*$G198*L_CBac!$J$69</f>
        <v>#REF!</v>
      </c>
    </row>
    <row r="199" spans="1:11" s="761" customFormat="1" ht="16.5" customHeight="1">
      <c r="A199" s="756" t="e">
        <f>L_CViec!#REF!</f>
        <v>#REF!</v>
      </c>
      <c r="B199" s="757" t="e">
        <f>L_CViec!#REF!</f>
        <v>#REF!</v>
      </c>
      <c r="C199" s="758" t="e">
        <f>L_CViec!#REF!</f>
        <v>#REF!</v>
      </c>
      <c r="D199" s="758" t="e">
        <f>L_CViec!#REF!</f>
        <v>#REF!</v>
      </c>
      <c r="E199" s="758" t="e">
        <f>L_CViec!#REF!</f>
        <v>#REF!</v>
      </c>
      <c r="F199" s="758" t="e">
        <f>L_CViec!#REF!</f>
        <v>#REF!</v>
      </c>
      <c r="G199" s="758" t="e">
        <f>L_CViec!#REF!</f>
        <v>#REF!</v>
      </c>
      <c r="H199" s="759" t="e">
        <f>L_CViec!#REF!</f>
        <v>#REF!</v>
      </c>
      <c r="I199" s="759" t="e">
        <f>G199*H199*L_CBac!$G$68</f>
        <v>#REF!</v>
      </c>
      <c r="J199" s="759"/>
      <c r="K199" s="760"/>
    </row>
    <row r="200" spans="1:11" s="761" customFormat="1" ht="16.5" customHeight="1">
      <c r="A200" s="756" t="e">
        <f>L_CViec!#REF!</f>
        <v>#REF!</v>
      </c>
      <c r="B200" s="757" t="e">
        <f>L_CViec!#REF!</f>
        <v>#REF!</v>
      </c>
      <c r="C200" s="758" t="e">
        <f>L_CViec!#REF!</f>
        <v>#REF!</v>
      </c>
      <c r="D200" s="758" t="e">
        <f>L_CViec!#REF!</f>
        <v>#REF!</v>
      </c>
      <c r="E200" s="758" t="e">
        <f>L_CViec!#REF!</f>
        <v>#REF!</v>
      </c>
      <c r="F200" s="758" t="e">
        <f>L_CViec!#REF!</f>
        <v>#REF!</v>
      </c>
      <c r="G200" s="758" t="e">
        <f>L_CViec!#REF!</f>
        <v>#REF!</v>
      </c>
      <c r="H200" s="759" t="e">
        <f>L_CViec!#REF!</f>
        <v>#REF!</v>
      </c>
      <c r="I200" s="759" t="e">
        <f>G200*H200*L_CBac!$G$68</f>
        <v>#REF!</v>
      </c>
      <c r="J200" s="759" t="e">
        <f>$D200*G200*L_CBac!$J$68</f>
        <v>#REF!</v>
      </c>
      <c r="K200" s="760" t="e">
        <f>$D200*$G200*L_CBac!$J$69</f>
        <v>#REF!</v>
      </c>
    </row>
    <row r="201" spans="1:11" s="761" customFormat="1" ht="16.5" customHeight="1">
      <c r="A201" s="756" t="e">
        <f>L_CViec!#REF!</f>
        <v>#REF!</v>
      </c>
      <c r="B201" s="757" t="e">
        <f>L_CViec!#REF!</f>
        <v>#REF!</v>
      </c>
      <c r="C201" s="758" t="e">
        <f>L_CViec!#REF!</f>
        <v>#REF!</v>
      </c>
      <c r="D201" s="758" t="e">
        <f>L_CViec!#REF!</f>
        <v>#REF!</v>
      </c>
      <c r="E201" s="758" t="e">
        <f>L_CViec!#REF!</f>
        <v>#REF!</v>
      </c>
      <c r="F201" s="758" t="e">
        <f>L_CViec!#REF!</f>
        <v>#REF!</v>
      </c>
      <c r="G201" s="758" t="e">
        <f>L_CViec!#REF!</f>
        <v>#REF!</v>
      </c>
      <c r="H201" s="759" t="e">
        <f>L_CViec!#REF!</f>
        <v>#REF!</v>
      </c>
      <c r="I201" s="759" t="e">
        <f>G201*H201*L_CBac!$G$68</f>
        <v>#REF!</v>
      </c>
      <c r="J201" s="759"/>
      <c r="K201" s="760"/>
    </row>
    <row r="202" spans="1:11" s="761" customFormat="1" ht="16.5" customHeight="1">
      <c r="A202" s="756" t="e">
        <f>L_CViec!#REF!</f>
        <v>#REF!</v>
      </c>
      <c r="B202" s="757" t="e">
        <f>L_CViec!#REF!</f>
        <v>#REF!</v>
      </c>
      <c r="C202" s="758" t="e">
        <f>L_CViec!#REF!</f>
        <v>#REF!</v>
      </c>
      <c r="D202" s="758" t="e">
        <f>L_CViec!#REF!</f>
        <v>#REF!</v>
      </c>
      <c r="E202" s="758" t="e">
        <f>L_CViec!#REF!</f>
        <v>#REF!</v>
      </c>
      <c r="F202" s="758" t="e">
        <f>L_CViec!#REF!</f>
        <v>#REF!</v>
      </c>
      <c r="G202" s="758" t="e">
        <f>L_CViec!#REF!</f>
        <v>#REF!</v>
      </c>
      <c r="H202" s="759" t="e">
        <f>L_CViec!#REF!</f>
        <v>#REF!</v>
      </c>
      <c r="I202" s="759" t="e">
        <f>G202*H202*L_CBac!$G$68</f>
        <v>#REF!</v>
      </c>
      <c r="J202" s="759" t="e">
        <f>$D202*G202*L_CBac!$J$68</f>
        <v>#REF!</v>
      </c>
      <c r="K202" s="760" t="e">
        <f>$D202*$G202*L_CBac!$J$69</f>
        <v>#REF!</v>
      </c>
    </row>
    <row r="203" spans="1:11" s="761" customFormat="1" ht="16.5" customHeight="1">
      <c r="A203" s="756" t="e">
        <f>L_CViec!#REF!</f>
        <v>#REF!</v>
      </c>
      <c r="B203" s="757" t="e">
        <f>L_CViec!#REF!</f>
        <v>#REF!</v>
      </c>
      <c r="C203" s="758" t="e">
        <f>L_CViec!#REF!</f>
        <v>#REF!</v>
      </c>
      <c r="D203" s="758" t="e">
        <f>L_CViec!#REF!</f>
        <v>#REF!</v>
      </c>
      <c r="E203" s="758" t="e">
        <f>L_CViec!#REF!</f>
        <v>#REF!</v>
      </c>
      <c r="F203" s="758" t="e">
        <f>L_CViec!#REF!</f>
        <v>#REF!</v>
      </c>
      <c r="G203" s="758" t="e">
        <f>L_CViec!#REF!</f>
        <v>#REF!</v>
      </c>
      <c r="H203" s="759" t="e">
        <f>L_CViec!#REF!</f>
        <v>#REF!</v>
      </c>
      <c r="I203" s="759" t="e">
        <f>G203*H203*L_CBac!$G$68</f>
        <v>#REF!</v>
      </c>
      <c r="J203" s="759"/>
      <c r="K203" s="760"/>
    </row>
    <row r="204" spans="1:11" s="761" customFormat="1" ht="15">
      <c r="A204" s="756" t="e">
        <f>L_CViec!#REF!</f>
        <v>#REF!</v>
      </c>
      <c r="B204" s="757" t="e">
        <f>L_CViec!#REF!</f>
        <v>#REF!</v>
      </c>
      <c r="C204" s="758" t="e">
        <f>L_CViec!#REF!</f>
        <v>#REF!</v>
      </c>
      <c r="D204" s="758" t="e">
        <f>L_CViec!#REF!</f>
        <v>#REF!</v>
      </c>
      <c r="E204" s="758" t="e">
        <f>L_CViec!#REF!</f>
        <v>#REF!</v>
      </c>
      <c r="F204" s="758" t="e">
        <f>L_CViec!#REF!</f>
        <v>#REF!</v>
      </c>
      <c r="G204" s="758" t="e">
        <f>L_CViec!#REF!</f>
        <v>#REF!</v>
      </c>
      <c r="H204" s="759" t="e">
        <f>L_CViec!#REF!</f>
        <v>#REF!</v>
      </c>
      <c r="I204" s="759"/>
      <c r="J204" s="759"/>
      <c r="K204" s="760"/>
    </row>
    <row r="205" spans="1:11" s="767" customFormat="1" ht="15">
      <c r="A205" s="762" t="e">
        <f>L_CViec!#REF!</f>
        <v>#REF!</v>
      </c>
      <c r="B205" s="763" t="e">
        <f>L_CViec!#REF!</f>
        <v>#REF!</v>
      </c>
      <c r="C205" s="764" t="e">
        <f>L_CViec!#REF!</f>
        <v>#REF!</v>
      </c>
      <c r="D205" s="764" t="e">
        <f>L_CViec!#REF!</f>
        <v>#REF!</v>
      </c>
      <c r="E205" s="764" t="e">
        <f>L_CViec!#REF!</f>
        <v>#REF!</v>
      </c>
      <c r="F205" s="764" t="e">
        <f>L_CViec!#REF!</f>
        <v>#REF!</v>
      </c>
      <c r="G205" s="764" t="e">
        <f>L_CViec!#REF!</f>
        <v>#REF!</v>
      </c>
      <c r="H205" s="765" t="e">
        <f>L_CViec!#REF!</f>
        <v>#REF!</v>
      </c>
      <c r="I205" s="765" t="e">
        <f>G205*H205*L_CBac!$G$68</f>
        <v>#REF!</v>
      </c>
      <c r="J205" s="765" t="e">
        <f>$D205*G205*L_CBac!$J$68</f>
        <v>#REF!</v>
      </c>
      <c r="K205" s="766" t="e">
        <f>$D205*$G205*L_CBac!$J$69</f>
        <v>#REF!</v>
      </c>
    </row>
    <row r="206" spans="1:11" s="767" customFormat="1" ht="15">
      <c r="A206" s="762" t="e">
        <f>L_CViec!#REF!</f>
        <v>#REF!</v>
      </c>
      <c r="B206" s="763" t="e">
        <f>L_CViec!#REF!</f>
        <v>#REF!</v>
      </c>
      <c r="C206" s="764" t="e">
        <f>L_CViec!#REF!</f>
        <v>#REF!</v>
      </c>
      <c r="D206" s="764" t="e">
        <f>L_CViec!#REF!</f>
        <v>#REF!</v>
      </c>
      <c r="E206" s="764" t="e">
        <f>L_CViec!#REF!</f>
        <v>#REF!</v>
      </c>
      <c r="F206" s="764" t="e">
        <f>L_CViec!#REF!</f>
        <v>#REF!</v>
      </c>
      <c r="G206" s="764" t="e">
        <f>L_CViec!#REF!</f>
        <v>#REF!</v>
      </c>
      <c r="H206" s="765" t="e">
        <f>L_CViec!#REF!</f>
        <v>#REF!</v>
      </c>
      <c r="I206" s="765" t="e">
        <f>G206*H206*L_CBac!$G$68</f>
        <v>#REF!</v>
      </c>
      <c r="J206" s="765" t="e">
        <f>$D206*G206*L_CBac!$J$68</f>
        <v>#REF!</v>
      </c>
      <c r="K206" s="766" t="e">
        <f>$D206*$G206*L_CBac!$J$69</f>
        <v>#REF!</v>
      </c>
    </row>
    <row r="207" spans="1:11" s="761" customFormat="1" ht="15">
      <c r="A207" s="756" t="e">
        <f>L_CViec!#REF!</f>
        <v>#REF!</v>
      </c>
      <c r="B207" s="757" t="e">
        <f>L_CViec!#REF!</f>
        <v>#REF!</v>
      </c>
      <c r="C207" s="758" t="e">
        <f>L_CViec!#REF!</f>
        <v>#REF!</v>
      </c>
      <c r="D207" s="758" t="e">
        <f>L_CViec!#REF!</f>
        <v>#REF!</v>
      </c>
      <c r="E207" s="758" t="e">
        <f>L_CViec!#REF!</f>
        <v>#REF!</v>
      </c>
      <c r="F207" s="758" t="e">
        <f>L_CViec!#REF!</f>
        <v>#REF!</v>
      </c>
      <c r="G207" s="758" t="e">
        <f>L_CViec!#REF!</f>
        <v>#REF!</v>
      </c>
      <c r="H207" s="759" t="e">
        <f>L_CViec!#REF!</f>
        <v>#REF!</v>
      </c>
      <c r="I207" s="759"/>
      <c r="J207" s="759"/>
      <c r="K207" s="760"/>
    </row>
    <row r="208" spans="1:11" s="767" customFormat="1" ht="15.75" customHeight="1">
      <c r="A208" s="762" t="e">
        <f>L_CViec!#REF!</f>
        <v>#REF!</v>
      </c>
      <c r="B208" s="763" t="e">
        <f>L_CViec!#REF!</f>
        <v>#REF!</v>
      </c>
      <c r="C208" s="764" t="e">
        <f>L_CViec!#REF!</f>
        <v>#REF!</v>
      </c>
      <c r="D208" s="764" t="e">
        <f>L_CViec!#REF!</f>
        <v>#REF!</v>
      </c>
      <c r="E208" s="764" t="e">
        <f>L_CViec!#REF!</f>
        <v>#REF!</v>
      </c>
      <c r="F208" s="764" t="e">
        <f>L_CViec!#REF!</f>
        <v>#REF!</v>
      </c>
      <c r="G208" s="764" t="e">
        <f>L_CViec!#REF!</f>
        <v>#REF!</v>
      </c>
      <c r="H208" s="765" t="e">
        <f>L_CViec!#REF!</f>
        <v>#REF!</v>
      </c>
      <c r="I208" s="765" t="e">
        <f>G208*H208*L_CBac!$G$68</f>
        <v>#REF!</v>
      </c>
      <c r="J208" s="765" t="e">
        <f>$D208*G208*L_CBac!$J$68</f>
        <v>#REF!</v>
      </c>
      <c r="K208" s="766" t="e">
        <f>$D208*$G208*L_CBac!$J$69</f>
        <v>#REF!</v>
      </c>
    </row>
    <row r="209" spans="1:11" s="767" customFormat="1" ht="15.75" customHeight="1">
      <c r="A209" s="762" t="e">
        <f>L_CViec!#REF!</f>
        <v>#REF!</v>
      </c>
      <c r="B209" s="763" t="e">
        <f>L_CViec!#REF!</f>
        <v>#REF!</v>
      </c>
      <c r="C209" s="764" t="e">
        <f>L_CViec!#REF!</f>
        <v>#REF!</v>
      </c>
      <c r="D209" s="764" t="e">
        <f>L_CViec!#REF!</f>
        <v>#REF!</v>
      </c>
      <c r="E209" s="764" t="e">
        <f>L_CViec!#REF!</f>
        <v>#REF!</v>
      </c>
      <c r="F209" s="764" t="e">
        <f>L_CViec!#REF!</f>
        <v>#REF!</v>
      </c>
      <c r="G209" s="764" t="e">
        <f>L_CViec!#REF!</f>
        <v>#REF!</v>
      </c>
      <c r="H209" s="765" t="e">
        <f>L_CViec!#REF!</f>
        <v>#REF!</v>
      </c>
      <c r="I209" s="765" t="e">
        <f>G209*H209*L_CBac!$G$68</f>
        <v>#REF!</v>
      </c>
      <c r="J209" s="765" t="e">
        <f>$D209*G209*L_CBac!$J$68</f>
        <v>#REF!</v>
      </c>
      <c r="K209" s="766" t="e">
        <f>$D209*$G209*L_CBac!$J$69</f>
        <v>#REF!</v>
      </c>
    </row>
    <row r="210" spans="1:11" s="761" customFormat="1" ht="15">
      <c r="A210" s="756" t="e">
        <f>L_CViec!#REF!</f>
        <v>#REF!</v>
      </c>
      <c r="B210" s="757" t="e">
        <f>L_CViec!#REF!</f>
        <v>#REF!</v>
      </c>
      <c r="C210" s="758" t="e">
        <f>L_CViec!#REF!</f>
        <v>#REF!</v>
      </c>
      <c r="D210" s="758" t="e">
        <f>L_CViec!#REF!</f>
        <v>#REF!</v>
      </c>
      <c r="E210" s="758" t="e">
        <f>L_CViec!#REF!</f>
        <v>#REF!</v>
      </c>
      <c r="F210" s="758" t="e">
        <f>L_CViec!#REF!</f>
        <v>#REF!</v>
      </c>
      <c r="G210" s="758" t="e">
        <f>L_CViec!#REF!</f>
        <v>#REF!</v>
      </c>
      <c r="H210" s="759" t="e">
        <f>L_CViec!#REF!</f>
        <v>#REF!</v>
      </c>
      <c r="I210" s="759" t="e">
        <f>G210*H210*L_CBac!$G$68</f>
        <v>#REF!</v>
      </c>
      <c r="J210" s="759" t="e">
        <f>$D210*G210*L_CBac!$J$68</f>
        <v>#REF!</v>
      </c>
      <c r="K210" s="760" t="e">
        <f>$D210*$G210*L_CBac!$J$69</f>
        <v>#REF!</v>
      </c>
    </row>
    <row r="211" spans="1:11" s="761" customFormat="1" ht="15">
      <c r="A211" s="756">
        <f>L_CViec!A226</f>
        <v>6</v>
      </c>
      <c r="B211" s="757" t="str">
        <f>L_CViec!B226</f>
        <v>Chuyển hồ sơ đến Văn phòng đăng ký đất đai</v>
      </c>
      <c r="C211" s="758">
        <f>L_CViec!AB226</f>
        <v>0</v>
      </c>
      <c r="D211" s="758">
        <f>L_CViec!AA226</f>
        <v>0</v>
      </c>
      <c r="E211" s="758">
        <f>L_CViec!AC226</f>
        <v>0</v>
      </c>
      <c r="F211" s="758">
        <f>L_CViec!AD226</f>
        <v>0</v>
      </c>
      <c r="G211" s="758">
        <f>L_CViec!AE226</f>
        <v>0</v>
      </c>
      <c r="H211" s="759">
        <f>L_CViec!AF226</f>
        <v>0</v>
      </c>
      <c r="I211" s="759"/>
      <c r="J211" s="759"/>
      <c r="K211" s="760"/>
    </row>
    <row r="212" spans="1:11" s="767" customFormat="1" ht="16.5" customHeight="1">
      <c r="A212" s="762">
        <f>L_CViec!A227</f>
        <v>6.1</v>
      </c>
      <c r="B212" s="763" t="str">
        <f>L_CViec!B227</f>
        <v>Theo hình thức trực tiếp</v>
      </c>
      <c r="C212" s="764" t="str">
        <f>L_CViec!AB227</f>
        <v>Hồ sơ</v>
      </c>
      <c r="D212" s="764">
        <f>L_CViec!AA227</f>
        <v>1</v>
      </c>
      <c r="E212" s="764" t="str">
        <f>L_CViec!AC227</f>
        <v>1KS2</v>
      </c>
      <c r="F212" s="764" t="str">
        <f>L_CViec!AD227</f>
        <v>1-3</v>
      </c>
      <c r="G212" s="764">
        <f>L_CViec!AE227</f>
        <v>5.0000000000000001E-3</v>
      </c>
      <c r="H212" s="765">
        <f>L_CViec!AF227</f>
        <v>333450</v>
      </c>
      <c r="I212" s="765">
        <f>G212*H212*L_CBac!$G$68</f>
        <v>1917.3374999999999</v>
      </c>
      <c r="J212" s="765">
        <f>$D212*G212*L_CBac!$J$68</f>
        <v>127.82250000000001</v>
      </c>
      <c r="K212" s="766">
        <f>$D212*$G212*L_CBac!$J$69</f>
        <v>140.38461538461539</v>
      </c>
    </row>
    <row r="213" spans="1:11" s="767" customFormat="1" ht="16.5" customHeight="1">
      <c r="A213" s="762">
        <f>L_CViec!A228</f>
        <v>6.2</v>
      </c>
      <c r="B213" s="763" t="str">
        <f>L_CViec!B228</f>
        <v>Theo hình thức trực tuyến</v>
      </c>
      <c r="C213" s="764" t="str">
        <f>L_CViec!AB228</f>
        <v>Hồ sơ</v>
      </c>
      <c r="D213" s="764">
        <f>L_CViec!AA228</f>
        <v>1</v>
      </c>
      <c r="E213" s="764" t="str">
        <f>L_CViec!AC228</f>
        <v>1KS2</v>
      </c>
      <c r="F213" s="764" t="str">
        <f>L_CViec!AD228</f>
        <v>1-3</v>
      </c>
      <c r="G213" s="764">
        <f>L_CViec!AE228</f>
        <v>4.0000000000000001E-3</v>
      </c>
      <c r="H213" s="765">
        <f>L_CViec!AF228</f>
        <v>333450</v>
      </c>
      <c r="I213" s="765">
        <f>G213*H213*L_CBac!$G$68</f>
        <v>1533.87</v>
      </c>
      <c r="J213" s="765">
        <f>$D213*G213*L_CBac!$J$68</f>
        <v>102.258</v>
      </c>
      <c r="K213" s="766">
        <f>$D213*$G213*L_CBac!$J$69</f>
        <v>112.30769230769232</v>
      </c>
    </row>
    <row r="214" spans="1:11" s="761" customFormat="1" ht="15">
      <c r="A214" s="756" t="e">
        <f>L_CViec!#REF!</f>
        <v>#REF!</v>
      </c>
      <c r="B214" s="757" t="e">
        <f>L_CViec!#REF!</f>
        <v>#REF!</v>
      </c>
      <c r="C214" s="758" t="e">
        <f>L_CViec!#REF!</f>
        <v>#REF!</v>
      </c>
      <c r="D214" s="758" t="e">
        <f>L_CViec!#REF!</f>
        <v>#REF!</v>
      </c>
      <c r="E214" s="758" t="e">
        <f>L_CViec!#REF!</f>
        <v>#REF!</v>
      </c>
      <c r="F214" s="758" t="e">
        <f>L_CViec!#REF!</f>
        <v>#REF!</v>
      </c>
      <c r="G214" s="758" t="e">
        <f>L_CViec!#REF!</f>
        <v>#REF!</v>
      </c>
      <c r="H214" s="759" t="e">
        <f>L_CViec!#REF!</f>
        <v>#REF!</v>
      </c>
      <c r="I214" s="759" t="e">
        <f>G214*H214*L_CBac!$G$68</f>
        <v>#REF!</v>
      </c>
      <c r="J214" s="759" t="e">
        <f>$D214*G214*L_CBac!$J$68</f>
        <v>#REF!</v>
      </c>
      <c r="K214" s="760" t="e">
        <f>$D214*$G214*L_CBac!$J$69</f>
        <v>#REF!</v>
      </c>
    </row>
    <row r="215" spans="1:11" s="761" customFormat="1" ht="15">
      <c r="A215" s="756" t="str">
        <f>L_CViec!A229</f>
        <v>7</v>
      </c>
      <c r="B215" s="757" t="str">
        <f>L_CViec!B229</f>
        <v>Kiểm tra hồ sơ đề nghị đăng ký</v>
      </c>
      <c r="C215" s="758" t="str">
        <f>L_CViec!AB229</f>
        <v>Hồ sơ</v>
      </c>
      <c r="D215" s="758">
        <f>L_CViec!AA229</f>
        <v>1</v>
      </c>
      <c r="E215" s="758" t="str">
        <f>L_CViec!AC229</f>
        <v>1KS3</v>
      </c>
      <c r="F215" s="758" t="str">
        <f>L_CViec!AD229</f>
        <v>1-3</v>
      </c>
      <c r="G215" s="758">
        <f>L_CViec!AE229</f>
        <v>0.1</v>
      </c>
      <c r="H215" s="759">
        <f>L_CViec!AF229</f>
        <v>333450</v>
      </c>
      <c r="I215" s="759">
        <f>G215*H215*L_CBac!$G$68</f>
        <v>38346.75</v>
      </c>
      <c r="J215" s="759">
        <f>$D215*G215*L_CBac!$J$68</f>
        <v>2556.4500000000003</v>
      </c>
      <c r="K215" s="760">
        <f>$D215*$G215*L_CBac!$J$69</f>
        <v>2807.6923076923081</v>
      </c>
    </row>
    <row r="216" spans="1:11" s="728" customFormat="1" ht="14.25">
      <c r="A216" s="768" t="e">
        <f>L_CViec!#REF!</f>
        <v>#REF!</v>
      </c>
      <c r="B216" s="733" t="e">
        <f>L_CViec!#REF!</f>
        <v>#REF!</v>
      </c>
      <c r="C216" s="733" t="e">
        <f>L_CViec!#REF!</f>
        <v>#REF!</v>
      </c>
      <c r="D216" s="733" t="e">
        <f>L_CViec!#REF!</f>
        <v>#REF!</v>
      </c>
      <c r="E216" s="733" t="e">
        <f>L_CViec!#REF!</f>
        <v>#REF!</v>
      </c>
      <c r="F216" s="733" t="e">
        <f>L_CViec!#REF!</f>
        <v>#REF!</v>
      </c>
      <c r="G216" s="733" t="e">
        <f>L_CViec!#REF!</f>
        <v>#REF!</v>
      </c>
      <c r="H216" s="734" t="e">
        <f>L_CViec!#REF!</f>
        <v>#REF!</v>
      </c>
      <c r="I216" s="735" t="e">
        <f>SUM(I218,I220,I221,I223,I227,I229,I231,I232,I234,I236,I237,I240,I241,I247,I248)</f>
        <v>#REF!</v>
      </c>
      <c r="J216" s="735" t="e">
        <f>SUM(J218,J220,J221,J223,J227,J229,J231,J232,J234,J236,J237,J240,J241,J247,J248)</f>
        <v>#REF!</v>
      </c>
      <c r="K216" s="736" t="e">
        <f>SUM(K218,K220,K221,K223,K227,K229,K231,K232,K234,K236,K237,K240,K241,K247,K248)</f>
        <v>#REF!</v>
      </c>
    </row>
    <row r="217" spans="1:11" s="761" customFormat="1" ht="15">
      <c r="A217" s="756" t="e">
        <f>L_CViec!#REF!</f>
        <v>#REF!</v>
      </c>
      <c r="B217" s="757" t="e">
        <f>L_CViec!#REF!</f>
        <v>#REF!</v>
      </c>
      <c r="C217" s="758" t="e">
        <f>L_CViec!#REF!</f>
        <v>#REF!</v>
      </c>
      <c r="D217" s="758" t="e">
        <f>L_CViec!#REF!</f>
        <v>#REF!</v>
      </c>
      <c r="E217" s="758" t="e">
        <f>L_CViec!#REF!</f>
        <v>#REF!</v>
      </c>
      <c r="F217" s="758" t="e">
        <f>L_CViec!#REF!</f>
        <v>#REF!</v>
      </c>
      <c r="G217" s="758" t="e">
        <f>L_CViec!#REF!</f>
        <v>#REF!</v>
      </c>
      <c r="H217" s="759" t="e">
        <f>L_CViec!#REF!</f>
        <v>#REF!</v>
      </c>
      <c r="I217" s="759"/>
      <c r="J217" s="759"/>
      <c r="K217" s="760"/>
    </row>
    <row r="218" spans="1:11" s="767" customFormat="1" ht="16.5" customHeight="1">
      <c r="A218" s="762" t="e">
        <f>L_CViec!#REF!</f>
        <v>#REF!</v>
      </c>
      <c r="B218" s="763" t="e">
        <f>L_CViec!#REF!</f>
        <v>#REF!</v>
      </c>
      <c r="C218" s="764" t="e">
        <f>L_CViec!#REF!</f>
        <v>#REF!</v>
      </c>
      <c r="D218" s="764" t="e">
        <f>L_CViec!#REF!</f>
        <v>#REF!</v>
      </c>
      <c r="E218" s="764" t="e">
        <f>L_CViec!#REF!</f>
        <v>#REF!</v>
      </c>
      <c r="F218" s="764" t="e">
        <f>L_CViec!#REF!</f>
        <v>#REF!</v>
      </c>
      <c r="G218" s="764" t="e">
        <f>L_CViec!#REF!</f>
        <v>#REF!</v>
      </c>
      <c r="H218" s="765" t="e">
        <f>L_CViec!#REF!</f>
        <v>#REF!</v>
      </c>
      <c r="I218" s="765" t="e">
        <f>G218*H218*L_CBac!$G$68</f>
        <v>#REF!</v>
      </c>
      <c r="J218" s="765" t="e">
        <f>$D218*G218*L_CBac!$J$68</f>
        <v>#REF!</v>
      </c>
      <c r="K218" s="766" t="e">
        <f>$D218*$G218*L_CBac!$J$69</f>
        <v>#REF!</v>
      </c>
    </row>
    <row r="219" spans="1:11" s="767" customFormat="1" ht="16.5" customHeight="1">
      <c r="A219" s="762" t="e">
        <f>L_CViec!#REF!</f>
        <v>#REF!</v>
      </c>
      <c r="B219" s="763" t="e">
        <f>L_CViec!#REF!</f>
        <v>#REF!</v>
      </c>
      <c r="C219" s="764" t="e">
        <f>L_CViec!#REF!</f>
        <v>#REF!</v>
      </c>
      <c r="D219" s="764" t="e">
        <f>L_CViec!#REF!</f>
        <v>#REF!</v>
      </c>
      <c r="E219" s="764" t="e">
        <f>L_CViec!#REF!</f>
        <v>#REF!</v>
      </c>
      <c r="F219" s="764" t="e">
        <f>L_CViec!#REF!</f>
        <v>#REF!</v>
      </c>
      <c r="G219" s="769" t="e">
        <f>L_CViec!#REF!</f>
        <v>#REF!</v>
      </c>
      <c r="H219" s="765" t="e">
        <f>L_CViec!#REF!</f>
        <v>#REF!</v>
      </c>
      <c r="I219" s="765" t="e">
        <f>G219*H219*L_CBac!$G$68</f>
        <v>#REF!</v>
      </c>
      <c r="J219" s="765" t="e">
        <f>$D219*G219*L_CBac!$J$68</f>
        <v>#REF!</v>
      </c>
      <c r="K219" s="766" t="e">
        <f>$D219*$G219*L_CBac!$J$69</f>
        <v>#REF!</v>
      </c>
    </row>
    <row r="220" spans="1:11" s="761" customFormat="1" ht="15">
      <c r="A220" s="756" t="e">
        <f>L_CViec!#REF!</f>
        <v>#REF!</v>
      </c>
      <c r="B220" s="757" t="e">
        <f>L_CViec!#REF!</f>
        <v>#REF!</v>
      </c>
      <c r="C220" s="758" t="e">
        <f>L_CViec!#REF!</f>
        <v>#REF!</v>
      </c>
      <c r="D220" s="758" t="e">
        <f>L_CViec!#REF!</f>
        <v>#REF!</v>
      </c>
      <c r="E220" s="758" t="e">
        <f>L_CViec!#REF!</f>
        <v>#REF!</v>
      </c>
      <c r="F220" s="758" t="e">
        <f>L_CViec!#REF!</f>
        <v>#REF!</v>
      </c>
      <c r="G220" s="770" t="e">
        <f>L_CViec!#REF!</f>
        <v>#REF!</v>
      </c>
      <c r="H220" s="759" t="e">
        <f>L_CViec!#REF!</f>
        <v>#REF!</v>
      </c>
      <c r="I220" s="759" t="e">
        <f>G220*H220*L_CBac!$G$68</f>
        <v>#REF!</v>
      </c>
      <c r="J220" s="759" t="e">
        <f>$D220*G220*L_CBac!$J$68</f>
        <v>#REF!</v>
      </c>
      <c r="K220" s="760" t="e">
        <f>$D220*$G220*L_CBac!$J$69</f>
        <v>#REF!</v>
      </c>
    </row>
    <row r="221" spans="1:11" s="761" customFormat="1" ht="15">
      <c r="A221" s="756" t="e">
        <f>L_CViec!#REF!</f>
        <v>#REF!</v>
      </c>
      <c r="B221" s="757" t="e">
        <f>L_CViec!#REF!</f>
        <v>#REF!</v>
      </c>
      <c r="C221" s="758" t="e">
        <f>L_CViec!#REF!</f>
        <v>#REF!</v>
      </c>
      <c r="D221" s="758" t="e">
        <f>L_CViec!#REF!</f>
        <v>#REF!</v>
      </c>
      <c r="E221" s="758" t="e">
        <f>L_CViec!#REF!</f>
        <v>#REF!</v>
      </c>
      <c r="F221" s="758" t="e">
        <f>L_CViec!#REF!</f>
        <v>#REF!</v>
      </c>
      <c r="G221" s="770" t="e">
        <f>L_CViec!#REF!</f>
        <v>#REF!</v>
      </c>
      <c r="H221" s="759" t="e">
        <f>L_CViec!#REF!</f>
        <v>#REF!</v>
      </c>
      <c r="I221" s="759" t="e">
        <f>G221*H221*L_CBac!$G$68</f>
        <v>#REF!</v>
      </c>
      <c r="J221" s="759" t="e">
        <f>$D221*G221*L_CBac!$J$68</f>
        <v>#REF!</v>
      </c>
      <c r="K221" s="760" t="e">
        <f>$D221*$G221*L_CBac!$J$69</f>
        <v>#REF!</v>
      </c>
    </row>
    <row r="222" spans="1:11" s="777" customFormat="1" ht="18" customHeight="1">
      <c r="A222" s="771" t="str">
        <f>L_CViec!A232</f>
        <v>10</v>
      </c>
      <c r="B222" s="772" t="str">
        <f>L_CViec!B232</f>
        <v>Trích lục bản đồ địa chính đối với nơi đã có bản đồ địa chính hoặc kiểm tra, ký xác nhận mảnh trích đo bản đồ địa chính</v>
      </c>
      <c r="C222" s="773">
        <f>L_CViec!AB232</f>
        <v>0</v>
      </c>
      <c r="D222" s="773">
        <f>L_CViec!AA232</f>
        <v>0</v>
      </c>
      <c r="E222" s="773">
        <f>L_CViec!AC232</f>
        <v>0</v>
      </c>
      <c r="F222" s="773">
        <f>L_CViec!AD232</f>
        <v>0</v>
      </c>
      <c r="G222" s="774">
        <f>L_CViec!AE232</f>
        <v>0</v>
      </c>
      <c r="H222" s="775">
        <f>L_CViec!AF232</f>
        <v>0</v>
      </c>
      <c r="I222" s="775"/>
      <c r="J222" s="775"/>
      <c r="K222" s="776"/>
    </row>
    <row r="223" spans="1:11" s="784" customFormat="1" ht="18" customHeight="1">
      <c r="A223" s="778" t="str">
        <f>L_CViec!A233</f>
        <v>10.1</v>
      </c>
      <c r="B223" s="779" t="str">
        <f>L_CViec!B233</f>
        <v>Trích lục trên bản đồ dạng số</v>
      </c>
      <c r="C223" s="780" t="str">
        <f>L_CViec!AB233</f>
        <v>Hồ sơ</v>
      </c>
      <c r="D223" s="780">
        <f>L_CViec!AA233</f>
        <v>1</v>
      </c>
      <c r="E223" s="780" t="str">
        <f>L_CViec!AC233</f>
        <v>1KS2</v>
      </c>
      <c r="F223" s="780" t="str">
        <f>L_CViec!AD233</f>
        <v>1-3</v>
      </c>
      <c r="G223" s="781">
        <f>L_CViec!AE233</f>
        <v>2.5000000000000001E-2</v>
      </c>
      <c r="H223" s="782">
        <f>L_CViec!AF233</f>
        <v>296770.5</v>
      </c>
      <c r="I223" s="782">
        <f>G223*H223*L_CBac!$G$68</f>
        <v>8532.1518749999996</v>
      </c>
      <c r="J223" s="782">
        <f>$D223*G223*L_CBac!$J$68</f>
        <v>639.11250000000007</v>
      </c>
      <c r="K223" s="783">
        <f>$D223*$G223*L_CBac!$J$69</f>
        <v>701.92307692307702</v>
      </c>
    </row>
    <row r="224" spans="1:11" s="784" customFormat="1" ht="18" customHeight="1">
      <c r="A224" s="778" t="str">
        <f>L_CViec!A234</f>
        <v>10.2</v>
      </c>
      <c r="B224" s="779" t="str">
        <f>L_CViec!B234</f>
        <v>Trích lục trên bản đồ dạng giấy</v>
      </c>
      <c r="C224" s="780" t="str">
        <f>L_CViec!AB234</f>
        <v>Hồ sơ</v>
      </c>
      <c r="D224" s="780">
        <f>L_CViec!AA234</f>
        <v>1</v>
      </c>
      <c r="E224" s="780" t="str">
        <f>L_CViec!AC234</f>
        <v>1KS2</v>
      </c>
      <c r="F224" s="780" t="str">
        <f>L_CViec!AD234</f>
        <v>1-3</v>
      </c>
      <c r="G224" s="780">
        <f>L_CViec!AE234</f>
        <v>0.05</v>
      </c>
      <c r="H224" s="782">
        <f>L_CViec!AF234</f>
        <v>296770.5</v>
      </c>
      <c r="I224" s="782">
        <f>G224*H224*L_CBac!$G$68</f>
        <v>17064.303749999999</v>
      </c>
      <c r="J224" s="782">
        <f>$D224*G224*L_CBac!$J$68</f>
        <v>1278.2250000000001</v>
      </c>
      <c r="K224" s="783">
        <f>$D224*$G224*L_CBac!$J$69</f>
        <v>1403.846153846154</v>
      </c>
    </row>
    <row r="225" spans="1:11" s="761" customFormat="1" ht="30">
      <c r="A225" s="756" t="str">
        <f>L_CViec!A235</f>
        <v>11</v>
      </c>
      <c r="B225" s="757" t="str">
        <f>L_CViec!B235</f>
        <v>Lập và gửi Phiếu chuyển thông tin để xác định nghĩa vụ tài chính về đất đai (nếu có)</v>
      </c>
      <c r="C225" s="758">
        <f>L_CViec!AB235</f>
        <v>0</v>
      </c>
      <c r="D225" s="758">
        <f>L_CViec!AA235</f>
        <v>0</v>
      </c>
      <c r="E225" s="758">
        <f>L_CViec!AC235</f>
        <v>0</v>
      </c>
      <c r="F225" s="758">
        <f>L_CViec!AD235</f>
        <v>0</v>
      </c>
      <c r="G225" s="758">
        <f>L_CViec!AE235</f>
        <v>0</v>
      </c>
      <c r="H225" s="759">
        <f>L_CViec!AF235</f>
        <v>0</v>
      </c>
      <c r="I225" s="759"/>
      <c r="J225" s="759"/>
      <c r="K225" s="760"/>
    </row>
    <row r="226" spans="1:11" s="767" customFormat="1" ht="15">
      <c r="A226" s="762" t="str">
        <f>L_CViec!A236</f>
        <v>11.1</v>
      </c>
      <c r="B226" s="763" t="str">
        <f>L_CViec!B236</f>
        <v>Chuyển, nhận thông tin theo hình thức liên thông</v>
      </c>
      <c r="C226" s="764" t="str">
        <f>L_CViec!AB236</f>
        <v>Hồ sơ</v>
      </c>
      <c r="D226" s="764">
        <f>L_CViec!AA236</f>
        <v>1</v>
      </c>
      <c r="E226" s="764" t="str">
        <f>L_CViec!AC236</f>
        <v>1KS3</v>
      </c>
      <c r="F226" s="764" t="str">
        <f>L_CViec!AD236</f>
        <v>1-3</v>
      </c>
      <c r="G226" s="764">
        <f>L_CViec!AE236</f>
        <v>0.03</v>
      </c>
      <c r="H226" s="765">
        <f>L_CViec!AF236</f>
        <v>333450</v>
      </c>
      <c r="I226" s="765">
        <f>G226*H226*L_CBac!$G$68</f>
        <v>11504.025</v>
      </c>
      <c r="J226" s="765">
        <f>$D226*G226*L_CBac!$J$68</f>
        <v>766.93499999999995</v>
      </c>
      <c r="K226" s="766">
        <f>$D226*$G226*L_CBac!$J$69</f>
        <v>842.30769230769226</v>
      </c>
    </row>
    <row r="227" spans="1:11" s="767" customFormat="1" ht="15">
      <c r="A227" s="762" t="str">
        <f>L_CViec!A237</f>
        <v>11.2</v>
      </c>
      <c r="B227" s="763" t="str">
        <f>L_CViec!B237</f>
        <v>Chuyển, nhận thông tin theo hình thức trực tiếp</v>
      </c>
      <c r="C227" s="764" t="str">
        <f>L_CViec!AB237</f>
        <v>Hồ sơ</v>
      </c>
      <c r="D227" s="764">
        <f>L_CViec!AA237</f>
        <v>1</v>
      </c>
      <c r="E227" s="764" t="str">
        <f>L_CViec!AC237</f>
        <v>1KS3</v>
      </c>
      <c r="F227" s="764" t="str">
        <f>L_CViec!AD237</f>
        <v>1-3</v>
      </c>
      <c r="G227" s="764">
        <f>L_CViec!AE237</f>
        <v>0.04</v>
      </c>
      <c r="H227" s="765">
        <f>L_CViec!AF237</f>
        <v>333450</v>
      </c>
      <c r="I227" s="765">
        <f>G227*H227*L_CBac!$G$68</f>
        <v>15338.699999999999</v>
      </c>
      <c r="J227" s="765">
        <f>$D227*G227*L_CBac!$J$68</f>
        <v>1022.58</v>
      </c>
      <c r="K227" s="766">
        <f>$D227*$G227*L_CBac!$J$69</f>
        <v>1123.0769230769231</v>
      </c>
    </row>
    <row r="228" spans="1:11" s="761" customFormat="1" ht="30">
      <c r="A228" s="756" t="str">
        <f>L_CViec!A238</f>
        <v>12</v>
      </c>
      <c r="B228" s="757" t="str">
        <f>L_CViec!B238</f>
        <v>Nhận thông báo của cơ quan thuế về việc hoàn thành nghĩa vụ tài chính</v>
      </c>
      <c r="C228" s="758">
        <f>L_CViec!AB238</f>
        <v>0</v>
      </c>
      <c r="D228" s="758">
        <f>L_CViec!AA238</f>
        <v>0</v>
      </c>
      <c r="E228" s="758">
        <f>L_CViec!AC238</f>
        <v>0</v>
      </c>
      <c r="F228" s="758">
        <f>L_CViec!AD238</f>
        <v>0</v>
      </c>
      <c r="G228" s="758">
        <f>L_CViec!AE238</f>
        <v>0</v>
      </c>
      <c r="H228" s="759">
        <f>L_CViec!AF238</f>
        <v>0</v>
      </c>
      <c r="I228" s="759"/>
      <c r="J228" s="759"/>
      <c r="K228" s="760"/>
    </row>
    <row r="229" spans="1:11" s="767" customFormat="1" ht="30">
      <c r="A229" s="762" t="str">
        <f>L_CViec!A239</f>
        <v>12.1</v>
      </c>
      <c r="B229" s="763" t="str">
        <f>L_CViec!B239</f>
        <v>Theo hình thức trực tiếp (gửi về xã, thị trấn để thông báo cho người sử dụng đất)</v>
      </c>
      <c r="C229" s="764" t="str">
        <f>L_CViec!AB239</f>
        <v>Hồ sơ</v>
      </c>
      <c r="D229" s="764">
        <f>L_CViec!AA239</f>
        <v>1</v>
      </c>
      <c r="E229" s="764" t="str">
        <f>L_CViec!AC239</f>
        <v>1KS2</v>
      </c>
      <c r="F229" s="764" t="str">
        <f>L_CViec!AD239</f>
        <v>1-3</v>
      </c>
      <c r="G229" s="764">
        <f>L_CViec!AE239</f>
        <v>0.04</v>
      </c>
      <c r="H229" s="765">
        <f>L_CViec!AF239</f>
        <v>296770.5</v>
      </c>
      <c r="I229" s="765">
        <f>G229*H229*L_CBac!$G$68</f>
        <v>13651.442999999999</v>
      </c>
      <c r="J229" s="765">
        <f>$D229*G229*L_CBac!$J$68</f>
        <v>1022.58</v>
      </c>
      <c r="K229" s="766">
        <f>$D229*$G229*L_CBac!$J$69</f>
        <v>1123.0769230769231</v>
      </c>
    </row>
    <row r="230" spans="1:11" s="767" customFormat="1" ht="30">
      <c r="A230" s="762" t="str">
        <f>L_CViec!A240</f>
        <v>12.2</v>
      </c>
      <c r="B230" s="763" t="str">
        <f>L_CViec!B240</f>
        <v>Theo hình thức trực tuyến (gửi cho người sử dụng đất để thực hiện nghĩa vụ tài chính)</v>
      </c>
      <c r="C230" s="764" t="str">
        <f>L_CViec!AB240</f>
        <v>Hồ sơ</v>
      </c>
      <c r="D230" s="764">
        <f>L_CViec!AA240</f>
        <v>1</v>
      </c>
      <c r="E230" s="764" t="str">
        <f>L_CViec!AC240</f>
        <v>1KS2</v>
      </c>
      <c r="F230" s="764" t="str">
        <f>L_CViec!AD240</f>
        <v>1-3</v>
      </c>
      <c r="G230" s="764">
        <f>L_CViec!AE240</f>
        <v>0.03</v>
      </c>
      <c r="H230" s="765">
        <f>L_CViec!AF240</f>
        <v>296770.5</v>
      </c>
      <c r="I230" s="765">
        <f>G230*H230*L_CBac!$G$68</f>
        <v>10238.582249999999</v>
      </c>
      <c r="J230" s="765">
        <f>$D230*G230*L_CBac!$J$68</f>
        <v>766.93499999999995</v>
      </c>
      <c r="K230" s="766">
        <f>$D230*$G230*L_CBac!$J$69</f>
        <v>842.30769230769226</v>
      </c>
    </row>
    <row r="231" spans="1:11" s="761" customFormat="1" ht="30">
      <c r="A231" s="756" t="str">
        <f>L_CViec!A241</f>
        <v>13</v>
      </c>
      <c r="B231" s="757" t="str">
        <f>L_CViec!B241</f>
        <v xml:space="preserve">Nhập thông tin thửa đất, tài sản gắn liền với đất, đăng ký vào hồ sơ địa chính, cơ sở dữ liệu đất đai    </v>
      </c>
      <c r="C231" s="758" t="str">
        <f>L_CViec!AB241</f>
        <v>Thửa</v>
      </c>
      <c r="D231" s="758">
        <f>L_CViec!AA241</f>
        <v>1</v>
      </c>
      <c r="E231" s="758" t="str">
        <f>L_CViec!AC241</f>
        <v>1KS3</v>
      </c>
      <c r="F231" s="758" t="str">
        <f>L_CViec!AD241</f>
        <v>1-3</v>
      </c>
      <c r="G231" s="757">
        <f>L_CViec!AE241</f>
        <v>3.3000000000000002E-2</v>
      </c>
      <c r="H231" s="759">
        <f>L_CViec!AF241</f>
        <v>333450</v>
      </c>
      <c r="I231" s="759">
        <f>G231*H231*L_CBac!$G$68</f>
        <v>12654.4275</v>
      </c>
      <c r="J231" s="759">
        <f>$D231*G231*L_CBac!$J$68</f>
        <v>843.62850000000003</v>
      </c>
      <c r="K231" s="760">
        <f>$D231*$G231*L_CBac!$J$69</f>
        <v>926.53846153846166</v>
      </c>
    </row>
    <row r="232" spans="1:11" s="777" customFormat="1" ht="15">
      <c r="A232" s="771" t="str">
        <f>L_CViec!A242</f>
        <v>14</v>
      </c>
      <c r="B232" s="772" t="str">
        <f>L_CViec!B242</f>
        <v>Chuẩn bị hợp đồng cho thuê đất (nếu có)</v>
      </c>
      <c r="C232" s="773" t="str">
        <f>L_CViec!AB242</f>
        <v>Hồ sơ</v>
      </c>
      <c r="D232" s="773">
        <f>L_CViec!AA242</f>
        <v>1</v>
      </c>
      <c r="E232" s="773" t="str">
        <f>L_CViec!AC242</f>
        <v>1KS3</v>
      </c>
      <c r="F232" s="773" t="str">
        <f>L_CViec!AD242</f>
        <v>1-3</v>
      </c>
      <c r="G232" s="772">
        <f>L_CViec!AE242</f>
        <v>0.2</v>
      </c>
      <c r="H232" s="775">
        <f>L_CViec!AF242</f>
        <v>333450</v>
      </c>
      <c r="I232" s="775">
        <f>G232*H232*L_CBac!$G$68</f>
        <v>76693.5</v>
      </c>
      <c r="J232" s="775">
        <f>$D232*G232*L_CBac!$J$68</f>
        <v>5112.9000000000005</v>
      </c>
      <c r="K232" s="776">
        <f>$D232*$G232*L_CBac!$J$69</f>
        <v>5615.3846153846162</v>
      </c>
    </row>
    <row r="233" spans="1:11" s="761" customFormat="1" ht="15">
      <c r="A233" s="756" t="str">
        <f>L_CViec!A243</f>
        <v>15</v>
      </c>
      <c r="B233" s="757" t="str">
        <f>L_CViec!B243</f>
        <v>In GCN</v>
      </c>
      <c r="C233" s="758">
        <f>L_CViec!AB243</f>
        <v>0</v>
      </c>
      <c r="D233" s="758">
        <f>L_CViec!AA243</f>
        <v>0</v>
      </c>
      <c r="E233" s="758">
        <f>L_CViec!AC243</f>
        <v>0</v>
      </c>
      <c r="F233" s="758">
        <f>L_CViec!AD243</f>
        <v>0</v>
      </c>
      <c r="G233" s="758">
        <f>L_CViec!AE243</f>
        <v>0</v>
      </c>
      <c r="H233" s="759">
        <f>L_CViec!AF243</f>
        <v>0</v>
      </c>
      <c r="I233" s="759"/>
      <c r="J233" s="759"/>
      <c r="K233" s="760"/>
    </row>
    <row r="234" spans="1:11" s="767" customFormat="1" ht="15.75" customHeight="1">
      <c r="A234" s="762" t="str">
        <f>L_CViec!A244</f>
        <v>15.1</v>
      </c>
      <c r="B234" s="763" t="str">
        <f>L_CViec!B244</f>
        <v>Trực tiếp từ cơ sở dữ liệu dạng số</v>
      </c>
      <c r="C234" s="764" t="str">
        <f>L_CViec!AB244</f>
        <v>GCN</v>
      </c>
      <c r="D234" s="764">
        <f>L_CViec!AA244</f>
        <v>1</v>
      </c>
      <c r="E234" s="764" t="str">
        <f>L_CViec!AC244</f>
        <v>1KS2</v>
      </c>
      <c r="F234" s="764" t="str">
        <f>L_CViec!AD244</f>
        <v>1-3</v>
      </c>
      <c r="G234" s="764">
        <f>L_CViec!AE244</f>
        <v>0.05</v>
      </c>
      <c r="H234" s="765">
        <f>L_CViec!AF244</f>
        <v>296770.5</v>
      </c>
      <c r="I234" s="765">
        <f>G234*H234*L_CBac!$G$68</f>
        <v>17064.303749999999</v>
      </c>
      <c r="J234" s="765">
        <f>$D234*G234*L_CBac!$J$68</f>
        <v>1278.2250000000001</v>
      </c>
      <c r="K234" s="766">
        <f>$D234*$G234*L_CBac!$J$69</f>
        <v>1403.846153846154</v>
      </c>
    </row>
    <row r="235" spans="1:11" s="767" customFormat="1" ht="15.75" customHeight="1">
      <c r="A235" s="762" t="str">
        <f>L_CViec!A245</f>
        <v>15.2</v>
      </c>
      <c r="B235" s="763" t="str">
        <f>L_CViec!B245</f>
        <v>Đối với những nơi chưa có bản đồ dạng số</v>
      </c>
      <c r="C235" s="764" t="str">
        <f>L_CViec!AB245</f>
        <v>GCN</v>
      </c>
      <c r="D235" s="764">
        <f>L_CViec!AA245</f>
        <v>1</v>
      </c>
      <c r="E235" s="764" t="str">
        <f>L_CViec!AC245</f>
        <v>1KS2</v>
      </c>
      <c r="F235" s="764" t="str">
        <f>L_CViec!AD245</f>
        <v>1-3</v>
      </c>
      <c r="G235" s="764">
        <f>L_CViec!AE245</f>
        <v>0.1</v>
      </c>
      <c r="H235" s="765">
        <f>L_CViec!AF245</f>
        <v>296770.5</v>
      </c>
      <c r="I235" s="765">
        <f>G235*H235*L_CBac!$G$68</f>
        <v>34128.607499999998</v>
      </c>
      <c r="J235" s="765">
        <f>$D235*G235*L_CBac!$J$68</f>
        <v>2556.4500000000003</v>
      </c>
      <c r="K235" s="766">
        <f>$D235*$G235*L_CBac!$J$69</f>
        <v>2807.6923076923081</v>
      </c>
    </row>
    <row r="236" spans="1:11" s="761" customFormat="1" ht="30">
      <c r="A236" s="756" t="str">
        <f>L_CViec!A246</f>
        <v>16</v>
      </c>
      <c r="B236" s="757" t="str">
        <f>L_CViec!B246</f>
        <v>Lập và gửi hồ sơ trình ký GCN, lập hồ sơ theo dõi việc gửi tài liệu</v>
      </c>
      <c r="C236" s="758" t="str">
        <f>L_CViec!AB246</f>
        <v>Hồ sơ</v>
      </c>
      <c r="D236" s="758">
        <f>L_CViec!AA246</f>
        <v>1</v>
      </c>
      <c r="E236" s="758" t="str">
        <f>L_CViec!AC246</f>
        <v>1KS2</v>
      </c>
      <c r="F236" s="758" t="str">
        <f>L_CViec!AD246</f>
        <v>1-3</v>
      </c>
      <c r="G236" s="758">
        <f>L_CViec!AE246</f>
        <v>0.04</v>
      </c>
      <c r="H236" s="759">
        <f>L_CViec!AF246</f>
        <v>296770.5</v>
      </c>
      <c r="I236" s="759">
        <f>G236*H236*L_CBac!$G$68</f>
        <v>13651.442999999999</v>
      </c>
      <c r="J236" s="759">
        <f>$D236*G236*L_CBac!$J$68</f>
        <v>1022.58</v>
      </c>
      <c r="K236" s="760">
        <f>$D236*$G236*L_CBac!$J$69</f>
        <v>1123.0769230769231</v>
      </c>
    </row>
    <row r="237" spans="1:11" s="761" customFormat="1" ht="30">
      <c r="A237" s="756" t="str">
        <f>L_CViec!A247</f>
        <v>17</v>
      </c>
      <c r="B237" s="757" t="str">
        <f>L_CViec!B247</f>
        <v>Nhận lại hồ sơ, GCN, hợp đồng thuê đất (nếu có); lập và sao sổ cấp GCN;  quét (sao) GCN để lưu</v>
      </c>
      <c r="C237" s="758">
        <f>L_CViec!AB247</f>
        <v>0</v>
      </c>
      <c r="D237" s="758">
        <f>L_CViec!AA247</f>
        <v>0</v>
      </c>
      <c r="E237" s="758">
        <f>L_CViec!AC247</f>
        <v>0</v>
      </c>
      <c r="F237" s="758">
        <f>L_CViec!AD247</f>
        <v>0</v>
      </c>
      <c r="G237" s="758">
        <f>L_CViec!AE247</f>
        <v>0</v>
      </c>
      <c r="H237" s="759">
        <f>L_CViec!AF247</f>
        <v>0</v>
      </c>
      <c r="I237" s="759" t="e">
        <f>SUM(I238:I239)</f>
        <v>#REF!</v>
      </c>
      <c r="J237" s="759" t="e">
        <f>SUM(J238:J239)</f>
        <v>#REF!</v>
      </c>
      <c r="K237" s="760" t="e">
        <f>SUM(K238:K239)</f>
        <v>#REF!</v>
      </c>
    </row>
    <row r="238" spans="1:11" s="767" customFormat="1" ht="15">
      <c r="A238" s="762" t="e">
        <f>L_CViec!#REF!</f>
        <v>#REF!</v>
      </c>
      <c r="B238" s="763" t="e">
        <f>L_CViec!#REF!</f>
        <v>#REF!</v>
      </c>
      <c r="C238" s="764" t="e">
        <f>L_CViec!#REF!</f>
        <v>#REF!</v>
      </c>
      <c r="D238" s="764" t="e">
        <f>L_CViec!#REF!</f>
        <v>#REF!</v>
      </c>
      <c r="E238" s="764" t="e">
        <f>L_CViec!#REF!</f>
        <v>#REF!</v>
      </c>
      <c r="F238" s="764" t="e">
        <f>L_CViec!#REF!</f>
        <v>#REF!</v>
      </c>
      <c r="G238" s="764" t="e">
        <f>L_CViec!#REF!</f>
        <v>#REF!</v>
      </c>
      <c r="H238" s="765" t="e">
        <f>L_CViec!#REF!</f>
        <v>#REF!</v>
      </c>
      <c r="I238" s="765" t="e">
        <f>G238*H238*L_CBac!$G$68</f>
        <v>#REF!</v>
      </c>
      <c r="J238" s="765" t="e">
        <f>$D238*G238*L_CBac!$J$68</f>
        <v>#REF!</v>
      </c>
      <c r="K238" s="766" t="e">
        <f>$D238*$G238*L_CBac!$J$69</f>
        <v>#REF!</v>
      </c>
    </row>
    <row r="239" spans="1:11" s="767" customFormat="1" ht="15">
      <c r="A239" s="762" t="e">
        <f>L_CViec!#REF!</f>
        <v>#REF!</v>
      </c>
      <c r="B239" s="763" t="e">
        <f>L_CViec!#REF!</f>
        <v>#REF!</v>
      </c>
      <c r="C239" s="764" t="e">
        <f>L_CViec!#REF!</f>
        <v>#REF!</v>
      </c>
      <c r="D239" s="764" t="e">
        <f>L_CViec!#REF!</f>
        <v>#REF!</v>
      </c>
      <c r="E239" s="764" t="e">
        <f>L_CViec!#REF!</f>
        <v>#REF!</v>
      </c>
      <c r="F239" s="764" t="e">
        <f>L_CViec!#REF!</f>
        <v>#REF!</v>
      </c>
      <c r="G239" s="764" t="e">
        <f>L_CViec!#REF!</f>
        <v>#REF!</v>
      </c>
      <c r="H239" s="765" t="e">
        <f>L_CViec!#REF!</f>
        <v>#REF!</v>
      </c>
      <c r="I239" s="765" t="e">
        <f>G239*H239*L_CBac!$G$68</f>
        <v>#REF!</v>
      </c>
      <c r="J239" s="765" t="e">
        <f>$D239*G239*L_CBac!$J$68</f>
        <v>#REF!</v>
      </c>
      <c r="K239" s="766" t="e">
        <f>$D239*$G239*L_CBac!$J$69</f>
        <v>#REF!</v>
      </c>
    </row>
    <row r="240" spans="1:11" s="761" customFormat="1" ht="15">
      <c r="A240" s="756" t="str">
        <f>L_CViec!A250</f>
        <v>18</v>
      </c>
      <c r="B240" s="757" t="str">
        <f>L_CViec!B250</f>
        <v>Nhập bổ sung thông tin dữ liệu về GCN</v>
      </c>
      <c r="C240" s="758" t="str">
        <f>L_CViec!AB250</f>
        <v>Thửa</v>
      </c>
      <c r="D240" s="758">
        <f>L_CViec!AA250</f>
        <v>1</v>
      </c>
      <c r="E240" s="758" t="str">
        <f>L_CViec!AC250</f>
        <v>1KS3</v>
      </c>
      <c r="F240" s="758" t="str">
        <f>L_CViec!AD250</f>
        <v>1-3</v>
      </c>
      <c r="G240" s="758">
        <f>L_CViec!AE250</f>
        <v>3.3000000000000002E-2</v>
      </c>
      <c r="H240" s="759">
        <f>L_CViec!AF250</f>
        <v>333450</v>
      </c>
      <c r="I240" s="759">
        <f>G240*H240*L_CBac!$G$68</f>
        <v>12654.4275</v>
      </c>
      <c r="J240" s="759">
        <f>$D240*G240*L_CBac!$J$68</f>
        <v>843.62850000000003</v>
      </c>
      <c r="K240" s="760">
        <f>$D240*$G240*L_CBac!$J$69</f>
        <v>926.53846153846166</v>
      </c>
    </row>
    <row r="241" spans="1:11" s="761" customFormat="1" ht="15">
      <c r="A241" s="756" t="e">
        <f>L_CViec!#REF!</f>
        <v>#REF!</v>
      </c>
      <c r="B241" s="757" t="e">
        <f>L_CViec!#REF!</f>
        <v>#REF!</v>
      </c>
      <c r="C241" s="758" t="e">
        <f>L_CViec!#REF!</f>
        <v>#REF!</v>
      </c>
      <c r="D241" s="758" t="e">
        <f>L_CViec!#REF!</f>
        <v>#REF!</v>
      </c>
      <c r="E241" s="758" t="e">
        <f>L_CViec!#REF!</f>
        <v>#REF!</v>
      </c>
      <c r="F241" s="758" t="e">
        <f>L_CViec!#REF!</f>
        <v>#REF!</v>
      </c>
      <c r="G241" s="758" t="e">
        <f>L_CViec!#REF!</f>
        <v>#REF!</v>
      </c>
      <c r="H241" s="759" t="e">
        <f>L_CViec!#REF!</f>
        <v>#REF!</v>
      </c>
      <c r="I241" s="759">
        <f>I242+I245+I246</f>
        <v>25722.999899999999</v>
      </c>
      <c r="J241" s="759">
        <f>J242+J245+J246</f>
        <v>971.45100000000002</v>
      </c>
      <c r="K241" s="760">
        <f>K242+K245+K246</f>
        <v>1066.9230769230769</v>
      </c>
    </row>
    <row r="242" spans="1:11" s="767" customFormat="1" ht="30">
      <c r="A242" s="762" t="str">
        <f>L_CViec!A251</f>
        <v>19</v>
      </c>
      <c r="B242" s="763" t="str">
        <f>L_CViec!B251</f>
        <v>Quét giấy tờ pháp lý về quyền sử dụng đất, quyền sở hữu nhà ở và tài sản khác gắn liền với đất</v>
      </c>
      <c r="C242" s="764">
        <f>L_CViec!AB251</f>
        <v>0</v>
      </c>
      <c r="D242" s="764">
        <f>L_CViec!AA251</f>
        <v>0</v>
      </c>
      <c r="E242" s="764">
        <f>L_CViec!AC251</f>
        <v>0</v>
      </c>
      <c r="F242" s="764">
        <f>L_CViec!AD251</f>
        <v>0</v>
      </c>
      <c r="G242" s="764">
        <f>L_CViec!AE251</f>
        <v>0</v>
      </c>
      <c r="H242" s="765">
        <f>L_CViec!AF251</f>
        <v>0</v>
      </c>
      <c r="I242" s="765">
        <f>SUM(I243:I244)</f>
        <v>16749.860399999998</v>
      </c>
      <c r="J242" s="765">
        <f>SUM(J243:J244)</f>
        <v>613.548</v>
      </c>
      <c r="K242" s="766">
        <f>SUM(K243:K244)</f>
        <v>673.84615384615392</v>
      </c>
    </row>
    <row r="243" spans="1:11" s="767" customFormat="1" ht="15">
      <c r="A243" s="762" t="str">
        <f>L_CViec!A252</f>
        <v>19.1</v>
      </c>
      <c r="B243" s="763" t="str">
        <f>L_CViec!B252</f>
        <v>Quét trang A3</v>
      </c>
      <c r="C243" s="764" t="str">
        <f>L_CViec!AB252</f>
        <v>Trang</v>
      </c>
      <c r="D243" s="764">
        <f>L_CViec!AA252</f>
        <v>1</v>
      </c>
      <c r="E243" s="764" t="str">
        <f>L_CViec!AC252</f>
        <v>1KS1</v>
      </c>
      <c r="F243" s="764" t="str">
        <f>L_CViec!AD252</f>
        <v>1-3</v>
      </c>
      <c r="G243" s="764">
        <f>L_CViec!AE252</f>
        <v>1.6E-2</v>
      </c>
      <c r="H243" s="765">
        <f>L_CViec!AF252</f>
        <v>260091</v>
      </c>
      <c r="I243" s="765">
        <f>G243*H243*L_CBac!$G$68*2</f>
        <v>9571.3487999999998</v>
      </c>
      <c r="J243" s="765">
        <f>$D243*G243*L_CBac!$J$68</f>
        <v>409.03199999999998</v>
      </c>
      <c r="K243" s="766">
        <f>$D243*$G243*L_CBac!$J$69</f>
        <v>449.23076923076928</v>
      </c>
    </row>
    <row r="244" spans="1:11" s="767" customFormat="1" ht="15">
      <c r="A244" s="762" t="str">
        <f>L_CViec!A253</f>
        <v>19.2</v>
      </c>
      <c r="B244" s="763" t="str">
        <f>L_CViec!B253</f>
        <v>Quét trang A4</v>
      </c>
      <c r="C244" s="764" t="str">
        <f>L_CViec!AB253</f>
        <v>Trang</v>
      </c>
      <c r="D244" s="764">
        <f>L_CViec!AA253</f>
        <v>1</v>
      </c>
      <c r="E244" s="764" t="str">
        <f>L_CViec!AC253</f>
        <v>1KS1</v>
      </c>
      <c r="F244" s="764" t="str">
        <f>L_CViec!AD253</f>
        <v>1-3</v>
      </c>
      <c r="G244" s="764">
        <f>L_CViec!AE253</f>
        <v>8.0000000000000002E-3</v>
      </c>
      <c r="H244" s="765">
        <f>L_CViec!AF253</f>
        <v>260091</v>
      </c>
      <c r="I244" s="765">
        <f>G244*H244*L_CBac!$G$68*3</f>
        <v>7178.5115999999998</v>
      </c>
      <c r="J244" s="765">
        <f>$D244*G244*L_CBac!$J$68</f>
        <v>204.51599999999999</v>
      </c>
      <c r="K244" s="766">
        <f>$D244*$G244*L_CBac!$J$69</f>
        <v>224.61538461538464</v>
      </c>
    </row>
    <row r="245" spans="1:11" s="767" customFormat="1" ht="30">
      <c r="A245" s="762" t="str">
        <f>L_CViec!A254</f>
        <v>20</v>
      </c>
      <c r="B245" s="763" t="str">
        <f>L_CViec!B254</f>
        <v>Xử lý các tệp tin quét thành tệp (File) hồ sơ quét dạng số của thửa đất, lưu trữ dưới khuôn dạng tệp tin PDF</v>
      </c>
      <c r="C245" s="764" t="str">
        <f>L_CViec!AB254</f>
        <v>Trang</v>
      </c>
      <c r="D245" s="764">
        <f>L_CViec!AA254</f>
        <v>1</v>
      </c>
      <c r="E245" s="764" t="str">
        <f>L_CViec!AC254</f>
        <v>1KS1</v>
      </c>
      <c r="F245" s="764" t="str">
        <f>L_CViec!AD254</f>
        <v>1-3</v>
      </c>
      <c r="G245" s="764">
        <f>L_CViec!AE254</f>
        <v>4.0000000000000001E-3</v>
      </c>
      <c r="H245" s="765">
        <f>L_CViec!AF254</f>
        <v>260091</v>
      </c>
      <c r="I245" s="765">
        <f>G245*H245*L_CBac!$G$68*5</f>
        <v>5982.0929999999998</v>
      </c>
      <c r="J245" s="765">
        <f>$D245*G245*L_CBac!$J$68</f>
        <v>102.258</v>
      </c>
      <c r="K245" s="766">
        <f>$D245*$G245*L_CBac!$J$69</f>
        <v>112.30769230769232</v>
      </c>
    </row>
    <row r="246" spans="1:11" s="767" customFormat="1" ht="30">
      <c r="A246" s="762" t="str">
        <f>L_CViec!A255</f>
        <v>21</v>
      </c>
      <c r="B246" s="763" t="str">
        <f>L_CViec!B255</f>
        <v>Tạo liên kết hồ sơ quét dạng số với thửa đất trong cơ sở dữ liệu</v>
      </c>
      <c r="C246" s="764" t="str">
        <f>L_CViec!AB255</f>
        <v>Thửa</v>
      </c>
      <c r="D246" s="764">
        <f>L_CViec!AA255</f>
        <v>1</v>
      </c>
      <c r="E246" s="764" t="str">
        <f>L_CViec!AC255</f>
        <v>1KS1</v>
      </c>
      <c r="F246" s="764" t="str">
        <f>L_CViec!AD255</f>
        <v>1-3</v>
      </c>
      <c r="G246" s="764">
        <f>L_CViec!AE255</f>
        <v>0.01</v>
      </c>
      <c r="H246" s="765">
        <f>L_CViec!AF255</f>
        <v>260091</v>
      </c>
      <c r="I246" s="765">
        <f>G246*H246*L_CBac!$G$68</f>
        <v>2991.0464999999995</v>
      </c>
      <c r="J246" s="765">
        <f>$D246*G246*L_CBac!$J$68</f>
        <v>255.64500000000001</v>
      </c>
      <c r="K246" s="766">
        <f>$D246*$G246*L_CBac!$J$69</f>
        <v>280.76923076923077</v>
      </c>
    </row>
    <row r="247" spans="1:11" s="761" customFormat="1" ht="45">
      <c r="A247" s="756" t="str">
        <f>L_CViec!A256</f>
        <v>22</v>
      </c>
      <c r="B247" s="757" t="str">
        <f>L_CViec!B256</f>
        <v>Chuyển Giấy chứng nhận đến Bộ phận một cửa để trao cho người sử dụng đất hoặc chuyển Giấy chứng nhận cho người sử dụng đất thông qua dịch vụ bưu chính công ích</v>
      </c>
      <c r="C247" s="758" t="str">
        <f>L_CViec!AB256</f>
        <v>Hồ sơ</v>
      </c>
      <c r="D247" s="758">
        <f>L_CViec!AA256</f>
        <v>1</v>
      </c>
      <c r="E247" s="758" t="str">
        <f>L_CViec!AC256</f>
        <v>1KS2</v>
      </c>
      <c r="F247" s="758" t="str">
        <f>L_CViec!AD256</f>
        <v>1-3</v>
      </c>
      <c r="G247" s="758">
        <f>L_CViec!AE256</f>
        <v>0.02</v>
      </c>
      <c r="H247" s="759">
        <f>L_CViec!AF256</f>
        <v>296770.5</v>
      </c>
      <c r="I247" s="759">
        <f>G247*H247*L_CBac!$G$68</f>
        <v>6825.7214999999997</v>
      </c>
      <c r="J247" s="759">
        <f>$D247*G247*L_CBac!$J$68</f>
        <v>511.29</v>
      </c>
      <c r="K247" s="760">
        <f>$D247*$G247*L_CBac!$J$69</f>
        <v>561.53846153846155</v>
      </c>
    </row>
    <row r="248" spans="1:11" s="744" customFormat="1" ht="30">
      <c r="A248" s="745" t="str">
        <f>L_CViec!A257</f>
        <v>23</v>
      </c>
      <c r="B248" s="746" t="str">
        <f>L_CViec!B257</f>
        <v xml:space="preserve">Nhận hồ sơ địa chính từ cấp tỉnh và gửi về xã, phường (01 bộ) </v>
      </c>
      <c r="C248" s="747" t="str">
        <f>L_CViec!AB257</f>
        <v>Bộ/xã , phường</v>
      </c>
      <c r="D248" s="747">
        <f>L_CViec!AA257</f>
        <v>1</v>
      </c>
      <c r="E248" s="747" t="str">
        <f>L_CViec!AC257</f>
        <v>1KS2</v>
      </c>
      <c r="F248" s="747" t="str">
        <f>L_CViec!AD257</f>
        <v>1-3</v>
      </c>
      <c r="G248" s="747">
        <f>L_CViec!AE257</f>
        <v>32</v>
      </c>
      <c r="H248" s="748">
        <f>L_CViec!AF257</f>
        <v>296770.5</v>
      </c>
      <c r="I248" s="748">
        <f>G248*H248*L_CBac!$G$68/8000</f>
        <v>1365.1442999999997</v>
      </c>
      <c r="J248" s="748">
        <f>$D248*G248*L_CBac!$J$68/8000</f>
        <v>102.258</v>
      </c>
      <c r="K248" s="749">
        <f>$D248*$G248*L_CBac!$J$69/8000</f>
        <v>112.30769230769231</v>
      </c>
    </row>
    <row r="249" spans="1:11" s="761" customFormat="1" ht="28.5">
      <c r="A249" s="768" t="str">
        <f>L_CViec!A258</f>
        <v>IV.2</v>
      </c>
      <c r="B249" s="733" t="str">
        <f>L_CViec!B258</f>
        <v>CÁC NỘI DUNG THỰC HIỆN TẠI ĐỊA BÀN CẤP TỈNH</v>
      </c>
      <c r="C249" s="733">
        <f>L_CViec!AB258</f>
        <v>0</v>
      </c>
      <c r="D249" s="733">
        <f>L_CViec!AA258</f>
        <v>0</v>
      </c>
      <c r="E249" s="733">
        <f>L_CViec!AC258</f>
        <v>0</v>
      </c>
      <c r="F249" s="733">
        <f>L_CViec!AD258</f>
        <v>0</v>
      </c>
      <c r="G249" s="733">
        <f>L_CViec!AE258</f>
        <v>0</v>
      </c>
      <c r="H249" s="734">
        <f>L_CViec!AF258</f>
        <v>0</v>
      </c>
      <c r="I249" s="735">
        <f>SUM(I250,I253,I256)</f>
        <v>72945.584521874989</v>
      </c>
      <c r="J249" s="735">
        <f>SUM(J250,J253,J256)</f>
        <v>4222.9358437499995</v>
      </c>
      <c r="K249" s="736">
        <f>SUM(K250,K253,K256)</f>
        <v>4637.9567307692305</v>
      </c>
    </row>
    <row r="250" spans="1:11" s="761" customFormat="1" ht="15">
      <c r="A250" s="756" t="str">
        <f>L_CViec!A259</f>
        <v>1</v>
      </c>
      <c r="B250" s="757" t="str">
        <f>L_CViec!B259</f>
        <v>Lập hồ sơ địa chính</v>
      </c>
      <c r="C250" s="758">
        <f>L_CViec!AB259</f>
        <v>0</v>
      </c>
      <c r="D250" s="758">
        <f>L_CViec!AA259</f>
        <v>0</v>
      </c>
      <c r="E250" s="758">
        <f>L_CViec!AC259</f>
        <v>0</v>
      </c>
      <c r="F250" s="758">
        <f>L_CViec!AD259</f>
        <v>0</v>
      </c>
      <c r="G250" s="758">
        <f>L_CViec!AE259</f>
        <v>0</v>
      </c>
      <c r="H250" s="759">
        <f>L_CViec!AF259</f>
        <v>0</v>
      </c>
      <c r="I250" s="759">
        <f>SUM(I251:I252)</f>
        <v>68103.827999999994</v>
      </c>
      <c r="J250" s="759">
        <f>SUM(J251:J252)</f>
        <v>4090.32</v>
      </c>
      <c r="K250" s="760">
        <f>SUM(K251:K252)</f>
        <v>4492.3076923076924</v>
      </c>
    </row>
    <row r="251" spans="1:11" s="755" customFormat="1" ht="30">
      <c r="A251" s="750" t="str">
        <f>L_CViec!A260</f>
        <v>1.1</v>
      </c>
      <c r="B251" s="751" t="str">
        <f>L_CViec!B260</f>
        <v>Hoàn thiện BĐĐC và Sổ mục kê đất đai theo kết quả đăng ký, cấp GCN</v>
      </c>
      <c r="C251" s="752" t="str">
        <f>L_CViec!AB260</f>
        <v>Bộ/ đĩa</v>
      </c>
      <c r="D251" s="752">
        <f>L_CViec!AA260</f>
        <v>1</v>
      </c>
      <c r="E251" s="752" t="str">
        <f>L_CViec!AC260</f>
        <v>1KS4</v>
      </c>
      <c r="F251" s="752" t="str">
        <f>L_CViec!AD260</f>
        <v>1-3</v>
      </c>
      <c r="G251" s="752">
        <f>L_CViec!AE260</f>
        <v>1200</v>
      </c>
      <c r="H251" s="753">
        <f>L_CViec!AF260</f>
        <v>370129.5</v>
      </c>
      <c r="I251" s="753">
        <f>G251*H251*L_CBac!$G$68/8000</f>
        <v>63847.338749999995</v>
      </c>
      <c r="J251" s="748">
        <f>$D251*G251*L_CBac!$J$68/8000</f>
        <v>3834.6750000000002</v>
      </c>
      <c r="K251" s="749">
        <f>$D251*$G251*L_CBac!$J$69/8000</f>
        <v>4211.5384615384619</v>
      </c>
    </row>
    <row r="252" spans="1:11" s="767" customFormat="1" ht="15">
      <c r="A252" s="762" t="str">
        <f>L_CViec!A261</f>
        <v>1.2</v>
      </c>
      <c r="B252" s="763" t="str">
        <f>L_CViec!B261</f>
        <v>Lập, hoàn thiện sổ địa chính điện tử</v>
      </c>
      <c r="C252" s="764" t="str">
        <f>L_CViec!AB261</f>
        <v>Thửa</v>
      </c>
      <c r="D252" s="764">
        <f>L_CViec!AA261</f>
        <v>1</v>
      </c>
      <c r="E252" s="764" t="str">
        <f>L_CViec!AC261</f>
        <v>1KS4</v>
      </c>
      <c r="F252" s="764" t="str">
        <f>L_CViec!AD261</f>
        <v>1-3</v>
      </c>
      <c r="G252" s="764">
        <f>L_CViec!AE261</f>
        <v>0.01</v>
      </c>
      <c r="H252" s="765">
        <f>L_CViec!AF261</f>
        <v>370129.5</v>
      </c>
      <c r="I252" s="765">
        <f>G252*H252*L_CBac!$G$68</f>
        <v>4256.4892499999996</v>
      </c>
      <c r="J252" s="765">
        <f>G252*L_CBac!$J$68</f>
        <v>255.64500000000001</v>
      </c>
      <c r="K252" s="766">
        <f>$G252*L_CBac!$J$69</f>
        <v>280.76923076923077</v>
      </c>
    </row>
    <row r="253" spans="1:11" s="744" customFormat="1" ht="30">
      <c r="A253" s="745" t="str">
        <f>L_CViec!A262</f>
        <v>2</v>
      </c>
      <c r="B253" s="746" t="str">
        <f>L_CViec!B262</f>
        <v>Sao, in ấn hồ sơ địa chính để cung cấp cho xã, thị trấn quản lý và khai thác sử dụng</v>
      </c>
      <c r="C253" s="747">
        <f>L_CViec!AB262</f>
        <v>0</v>
      </c>
      <c r="D253" s="747">
        <f>L_CViec!AA262</f>
        <v>0</v>
      </c>
      <c r="E253" s="747">
        <f>L_CViec!AC262</f>
        <v>0</v>
      </c>
      <c r="F253" s="747">
        <f>L_CViec!AD262</f>
        <v>0</v>
      </c>
      <c r="G253" s="747">
        <f>L_CViec!AE262</f>
        <v>0</v>
      </c>
      <c r="H253" s="748">
        <f>L_CViec!AF262</f>
        <v>0</v>
      </c>
      <c r="I253" s="748">
        <f>SUM(I254:I255)</f>
        <v>1436.5651218749999</v>
      </c>
      <c r="J253" s="748">
        <f>SUM(J254:J255)</f>
        <v>30.357843750000001</v>
      </c>
      <c r="K253" s="749">
        <f>SUM(K254:K255)</f>
        <v>33.341346153846153</v>
      </c>
    </row>
    <row r="254" spans="1:11" s="755" customFormat="1" ht="13.9" customHeight="1">
      <c r="A254" s="750" t="str">
        <f>L_CViec!A263</f>
        <v>2.1</v>
      </c>
      <c r="B254" s="751" t="str">
        <f>L_CViec!B263</f>
        <v>Bản đồ địa chính</v>
      </c>
      <c r="C254" s="752" t="str">
        <f>L_CViec!AB263</f>
        <v>Tờ</v>
      </c>
      <c r="D254" s="752">
        <f>L_CViec!AA263</f>
        <v>1</v>
      </c>
      <c r="E254" s="752" t="str">
        <f>L_CViec!AC263</f>
        <v>1KS4</v>
      </c>
      <c r="F254" s="752" t="str">
        <f>L_CViec!AD263</f>
        <v>1-3</v>
      </c>
      <c r="G254" s="752">
        <f>L_CViec!AE263</f>
        <v>2.5000000000000001E-2</v>
      </c>
      <c r="H254" s="753">
        <f>L_CViec!AF263</f>
        <v>370129.5</v>
      </c>
      <c r="I254" s="753">
        <f>G254*H254*L_CBac!$G$68/8000*60*2</f>
        <v>159.61834687499999</v>
      </c>
      <c r="J254" s="748">
        <f>$D254*G254*L_CBac!$J$68/8000*60</f>
        <v>4.7933437500000009</v>
      </c>
      <c r="K254" s="749">
        <f>$D254*$G254*L_CBac!$J$69/8000*60</f>
        <v>5.2644230769230775</v>
      </c>
    </row>
    <row r="255" spans="1:11" s="755" customFormat="1" ht="15">
      <c r="A255" s="750" t="str">
        <f>L_CViec!A264</f>
        <v>2.2</v>
      </c>
      <c r="B255" s="751" t="str">
        <f>L_CViec!B264</f>
        <v xml:space="preserve">Sao Sổ địa chính, Sổ mục kê </v>
      </c>
      <c r="C255" s="752" t="str">
        <f>L_CViec!AB264</f>
        <v>Bộ/ đĩa</v>
      </c>
      <c r="D255" s="752">
        <f>L_CViec!AA264</f>
        <v>1</v>
      </c>
      <c r="E255" s="752" t="str">
        <f>L_CViec!AC264</f>
        <v>1KS4</v>
      </c>
      <c r="F255" s="752" t="str">
        <f>L_CViec!AD264</f>
        <v>1-3</v>
      </c>
      <c r="G255" s="752">
        <f>L_CViec!AE264</f>
        <v>8</v>
      </c>
      <c r="H255" s="753">
        <f>L_CViec!AF264</f>
        <v>370129.5</v>
      </c>
      <c r="I255" s="753">
        <f>G255*H255*L_CBac!$G$68/8000*3</f>
        <v>1276.9467749999999</v>
      </c>
      <c r="J255" s="748">
        <f>$D255*G255*L_CBac!$J$68/8000</f>
        <v>25.564499999999999</v>
      </c>
      <c r="K255" s="749">
        <f>$D255*$G255*L_CBac!$J$69/8000</f>
        <v>28.076923076923077</v>
      </c>
    </row>
    <row r="256" spans="1:11" s="744" customFormat="1" ht="30">
      <c r="A256" s="785" t="str">
        <f>L_CViec!A265</f>
        <v>3</v>
      </c>
      <c r="B256" s="786" t="str">
        <f>L_CViec!B265</f>
        <v>Bàn giao HSĐC cho xã, phường để quản lý và khai thác sử dụng</v>
      </c>
      <c r="C256" s="787" t="str">
        <f>L_CViec!AB265</f>
        <v>Bộ/xã , phường</v>
      </c>
      <c r="D256" s="787">
        <f>L_CViec!AA265</f>
        <v>1</v>
      </c>
      <c r="E256" s="787" t="str">
        <f>L_CViec!AC265</f>
        <v>1KS4</v>
      </c>
      <c r="F256" s="787" t="str">
        <f>L_CViec!AD265</f>
        <v>1-3</v>
      </c>
      <c r="G256" s="787">
        <f>L_CViec!AE265</f>
        <v>32</v>
      </c>
      <c r="H256" s="788">
        <f>L_CViec!AF265</f>
        <v>370129.5</v>
      </c>
      <c r="I256" s="788">
        <f>G256*H256*L_CBac!$G$68/8000*2</f>
        <v>3405.1913999999997</v>
      </c>
      <c r="J256" s="748">
        <f>$D256*G256*L_CBac!$J$68/8000</f>
        <v>102.258</v>
      </c>
      <c r="K256" s="749">
        <f>$D256*$G256*L_CBac!$J$69/8000</f>
        <v>112.30769230769231</v>
      </c>
    </row>
    <row r="257" spans="1:11" s="761" customFormat="1" ht="15">
      <c r="A257" s="789" t="str">
        <f>L_CViec!A266</f>
        <v>IV.3</v>
      </c>
      <c r="B257" s="790" t="str">
        <f>L_CViec!B266</f>
        <v>GHI CHÚ</v>
      </c>
      <c r="C257" s="790">
        <f>L_CViec!AB266</f>
        <v>0</v>
      </c>
      <c r="D257" s="790"/>
      <c r="E257" s="790">
        <f>L_CViec!AC266</f>
        <v>0</v>
      </c>
      <c r="F257" s="790">
        <f>L_CViec!AD266</f>
        <v>0</v>
      </c>
      <c r="G257" s="790">
        <f>L_CViec!AE266</f>
        <v>0</v>
      </c>
      <c r="H257" s="791">
        <f>L_CViec!AF266</f>
        <v>0</v>
      </c>
      <c r="I257" s="792"/>
      <c r="J257" s="792"/>
      <c r="K257" s="793"/>
    </row>
    <row r="258" spans="1:11" s="761" customFormat="1" ht="48" customHeight="1">
      <c r="A258" s="756" t="str">
        <f>L_CViec!A267</f>
        <v>1</v>
      </c>
      <c r="B258" s="1727" t="str">
        <f>L_CViec!B267</f>
        <v>Định mức trên đây tính đối với việc đăng ký, cấp đổi GCN về quyền sử dụng đất. Trường hợp đăng ký, cấp đổi GCN đối với cả đất và tài sản gắn liền với đất thì định mức tính cho 1 hồ sơ đăng ký cả đất và tài sản bằng 1,3 lần định mức lao động cho 1 hồ sơ đăng ký đối với đất quy định tại Bảng này. Trường hợp đăng ký cấp đổi GCN riêng đối với tài sản thì định mức tính cho 1 hồ sơ đăng ký cấp đổi GCN đối với tài sản bằng định mức lao động cho 1 hồ sơ đăng ký đối với đất quy định tại Bảng này</v>
      </c>
      <c r="C258" s="1728"/>
      <c r="D258" s="1728"/>
      <c r="E258" s="1728"/>
      <c r="F258" s="1728"/>
      <c r="G258" s="1728"/>
      <c r="H258" s="1728"/>
      <c r="I258" s="1728"/>
      <c r="J258" s="1728"/>
      <c r="K258" s="1729"/>
    </row>
    <row r="259" spans="1:11" s="761" customFormat="1" ht="44.45" customHeight="1">
      <c r="A259" s="756" t="str">
        <f>L_CViec!A268</f>
        <v>2</v>
      </c>
      <c r="B259" s="1727" t="str">
        <f>L_CViec!B268</f>
        <v>Trường hợp nhiều thửa đất nông nghiệp lập chung trong 1 hồ sơ và cấp chung trong một GCN thì ngoài mức được tính ở trên, mỗi thửa đất tăng thêm được tính mức bằng 0,30 lần định mức quy định đối với Mục 2, 3, 4, 5, 6, 7, 8, 9, 10, 11, 12, 13, 14, 18, 19, 20, 21 và 23 các nội dung thực hiện tại địa bàn phường; Mục 1, 2 và 3 các nội dung thực hiện tại địa bàn cấp tỉnh của Bảng này</v>
      </c>
      <c r="C259" s="1728"/>
      <c r="D259" s="1728"/>
      <c r="E259" s="1728"/>
      <c r="F259" s="1728"/>
      <c r="G259" s="1728"/>
      <c r="H259" s="1728"/>
      <c r="I259" s="1728"/>
      <c r="J259" s="1728"/>
      <c r="K259" s="1729"/>
    </row>
    <row r="260" spans="1:11" s="761" customFormat="1" ht="30" customHeight="1">
      <c r="A260" s="756" t="str">
        <f>L_CViec!A269</f>
        <v>3</v>
      </c>
      <c r="B260" s="1730" t="str">
        <f>L_CViec!B269</f>
        <v>Trường hợp thửa đất đã cấp GCN mà có thay đổi về mục đích sử dụng đất, ranh giới thửa đất thì áp dụng theo định mức quy định tại Bảng này</v>
      </c>
      <c r="C260" s="1731"/>
      <c r="D260" s="1731"/>
      <c r="E260" s="1731"/>
      <c r="F260" s="1731"/>
      <c r="G260" s="1731"/>
      <c r="H260" s="1731"/>
      <c r="I260" s="1731"/>
      <c r="J260" s="1731"/>
      <c r="K260" s="1732"/>
    </row>
    <row r="261" spans="1:11" s="761" customFormat="1" ht="30" customHeight="1">
      <c r="A261" s="756" t="str">
        <f>L_CViec!A270</f>
        <v>4</v>
      </c>
      <c r="B261" s="1727" t="str">
        <f>L_CViec!B270</f>
        <v>Trường hợp thửa đất đã cấp GCN mà có thay đổi về mục đích sử dụng đất, ranh giới thửa đất thì áp dụng theo định mức quy định như đối với trường hợp cấp GCN đồng loạt lần đầu</v>
      </c>
      <c r="C261" s="1728"/>
      <c r="D261" s="1728"/>
      <c r="E261" s="1728"/>
      <c r="F261" s="1728"/>
      <c r="G261" s="1728"/>
      <c r="H261" s="1728"/>
      <c r="I261" s="1728"/>
      <c r="J261" s="1728"/>
      <c r="K261" s="1729"/>
    </row>
    <row r="262" spans="1:11" s="761" customFormat="1" ht="30" customHeight="1">
      <c r="A262" s="756" t="str">
        <f>L_CViec!A271</f>
        <v>5</v>
      </c>
      <c r="B262" s="1727" t="str">
        <f>L_CViec!B271</f>
        <v>Trường hợp cấp đổi GCN đối với thửa đất có biến động khác về quyền sử dụng đất, tài sản gắn liền với đất (chuyển quyền sử dụng đất, thay đổi về tài sản gắn liền với đất, v.v...) thì định mức lao động quy định tại các mục 2 7, 8, 9, 10, 11, 12, 13, 14, 18, 19, 20, 21 và 23 các nội dung thực hiện tại địa bàn xã Bảng này được tính bằng 1,5 lần.</v>
      </c>
      <c r="C262" s="1728"/>
      <c r="D262" s="1728"/>
      <c r="E262" s="1728"/>
      <c r="F262" s="1728"/>
      <c r="G262" s="1728"/>
      <c r="H262" s="1728"/>
      <c r="I262" s="1728"/>
      <c r="J262" s="1728"/>
      <c r="K262" s="1729"/>
    </row>
    <row r="263" spans="1:11" s="761" customFormat="1" ht="30" customHeight="1">
      <c r="A263" s="756" t="str">
        <f>L_CViec!A272</f>
        <v>6</v>
      </c>
      <c r="B263" s="1730" t="str">
        <f>L_CViec!B272</f>
        <v>Trường hợp có kê khai đăng ký, nhưng người sử dụng đất không đổi GCN thì định mức được tính bằng 90% định mức quy định đối với trường hợp cấp đổi GCN tại Bảng 9,</v>
      </c>
      <c r="C263" s="1731"/>
      <c r="D263" s="1731"/>
      <c r="E263" s="1731"/>
      <c r="F263" s="1731"/>
      <c r="G263" s="1731"/>
      <c r="H263" s="1731"/>
      <c r="I263" s="1731"/>
      <c r="J263" s="1731"/>
      <c r="K263" s="1732"/>
    </row>
    <row r="264" spans="1:11" s="761" customFormat="1" ht="30" customHeight="1" thickBot="1">
      <c r="A264" s="794" t="str">
        <f>L_CViec!A274</f>
        <v>8</v>
      </c>
      <c r="B264" s="1724" t="str">
        <f>L_CViec!B274</f>
        <v>Đơn vị tính tại Bảng này trong trường hợp sử dụng là “Điểm” được tính trung bình cho 10 điểm/1 xã, phường,đặc khu và “Cuộc” được tính trung bình cho 10 cuộc/1 xã, phường,đặc khu</v>
      </c>
      <c r="C264" s="1725"/>
      <c r="D264" s="1725"/>
      <c r="E264" s="1725"/>
      <c r="F264" s="1725"/>
      <c r="G264" s="1725"/>
      <c r="H264" s="1725"/>
      <c r="I264" s="1725"/>
      <c r="J264" s="1725"/>
      <c r="K264" s="1726"/>
    </row>
    <row r="265" spans="1:11" s="728" customFormat="1" ht="18.75" customHeight="1">
      <c r="A265" s="725" t="e">
        <f>L_CViec!#REF!</f>
        <v>#REF!</v>
      </c>
      <c r="B265" s="1711" t="e">
        <f>L_CViec!#REF!</f>
        <v>#REF!</v>
      </c>
      <c r="C265" s="1712"/>
      <c r="D265" s="1712"/>
      <c r="E265" s="1712"/>
      <c r="F265" s="1712"/>
      <c r="G265" s="1712"/>
      <c r="H265" s="1712"/>
      <c r="I265" s="1713"/>
      <c r="J265" s="795"/>
      <c r="K265" s="796" t="s">
        <v>343</v>
      </c>
    </row>
    <row r="266" spans="1:11" s="728" customFormat="1" ht="14.25">
      <c r="A266" s="1714" t="e">
        <f>L_CViec!#REF!</f>
        <v>#REF!</v>
      </c>
      <c r="B266" s="1717" t="e">
        <f>L_CViec!#REF!</f>
        <v>#REF!</v>
      </c>
      <c r="C266" s="729" t="e">
        <f>L_CViec!#REF!</f>
        <v>#REF!</v>
      </c>
      <c r="D266" s="729"/>
      <c r="E266" s="797" t="s">
        <v>353</v>
      </c>
      <c r="F266" s="1720">
        <v>2</v>
      </c>
      <c r="G266" s="729" t="e">
        <f>L_CViec!#REF!</f>
        <v>#REF!</v>
      </c>
      <c r="H266" s="730" t="e">
        <f>L_CViec!#REF!</f>
        <v>#REF!</v>
      </c>
      <c r="I266" s="731" t="e">
        <f>SUM(I$274,I$284,I$285,I286,I$295,I$298,I$300,I$302,I$304,I$305)</f>
        <v>#REF!</v>
      </c>
      <c r="J266" s="731" t="e">
        <f>SUM(J$274,J$284,J$285,J286,J$295,J$298,J$300,J$302,J$304,J$305)</f>
        <v>#REF!</v>
      </c>
      <c r="K266" s="732" t="e">
        <f>SUM(K$274,K$284,K$285,K286,K$295,K$298,K$300,K$302,K$304,K$305)</f>
        <v>#REF!</v>
      </c>
    </row>
    <row r="267" spans="1:11" s="728" customFormat="1" ht="15" customHeight="1">
      <c r="A267" s="1715"/>
      <c r="B267" s="1718"/>
      <c r="C267" s="733"/>
      <c r="D267" s="733"/>
      <c r="E267" s="798" t="s">
        <v>202</v>
      </c>
      <c r="F267" s="1721"/>
      <c r="G267" s="733"/>
      <c r="H267" s="734"/>
      <c r="I267" s="735" t="e">
        <f>SUM(I$275,I287)</f>
        <v>#REF!</v>
      </c>
      <c r="J267" s="735">
        <f>SUM(J$275,J287)</f>
        <v>0</v>
      </c>
      <c r="K267" s="736">
        <f>SUM(K$275,K287)</f>
        <v>0</v>
      </c>
    </row>
    <row r="268" spans="1:11" s="728" customFormat="1" ht="15" customHeight="1">
      <c r="A268" s="1715"/>
      <c r="B268" s="1718"/>
      <c r="C268" s="733"/>
      <c r="D268" s="733"/>
      <c r="E268" s="798" t="s">
        <v>353</v>
      </c>
      <c r="F268" s="1722">
        <v>3</v>
      </c>
      <c r="G268" s="733"/>
      <c r="H268" s="734"/>
      <c r="I268" s="735" t="e">
        <f>SUM(I$274,I$284,I$285,I288,I$295,I$298,I$300,I$302,I$304,I$305)</f>
        <v>#REF!</v>
      </c>
      <c r="J268" s="735" t="e">
        <f>SUM(J$274,J$284,J$285,J288,J$295,J$298,J$300,J$302,J$304,J$305)</f>
        <v>#REF!</v>
      </c>
      <c r="K268" s="736" t="e">
        <f>SUM(K$274,K$284,K$285,K288,K$295,K$298,K$300,K$302,K$304,K$305)</f>
        <v>#REF!</v>
      </c>
    </row>
    <row r="269" spans="1:11" s="728" customFormat="1" ht="15" customHeight="1">
      <c r="A269" s="1715"/>
      <c r="B269" s="1718"/>
      <c r="C269" s="733"/>
      <c r="D269" s="733"/>
      <c r="E269" s="798" t="s">
        <v>202</v>
      </c>
      <c r="F269" s="1721"/>
      <c r="G269" s="733"/>
      <c r="H269" s="734"/>
      <c r="I269" s="735" t="e">
        <f>SUM(I$275,I289)</f>
        <v>#REF!</v>
      </c>
      <c r="J269" s="735">
        <f>SUM(J$275,J289)</f>
        <v>0</v>
      </c>
      <c r="K269" s="736">
        <f>SUM(K$275,K289)</f>
        <v>0</v>
      </c>
    </row>
    <row r="270" spans="1:11" s="728" customFormat="1" ht="15" customHeight="1">
      <c r="A270" s="1715"/>
      <c r="B270" s="1718"/>
      <c r="C270" s="733"/>
      <c r="D270" s="733"/>
      <c r="E270" s="798" t="s">
        <v>353</v>
      </c>
      <c r="F270" s="1722">
        <v>4</v>
      </c>
      <c r="G270" s="733"/>
      <c r="H270" s="734"/>
      <c r="I270" s="735" t="e">
        <f>SUM(I$274,I$284,I$285,I290,I$295,I$298,I$300,I$302,I$304,I$305)</f>
        <v>#REF!</v>
      </c>
      <c r="J270" s="735" t="e">
        <f>SUM(J$274,J$284,J$285,J290,J$295,J$298,J$300,J$302,J$304,J$305)</f>
        <v>#REF!</v>
      </c>
      <c r="K270" s="736" t="e">
        <f>SUM(K$274,K$284,K$285,K290,K$295,K$298,K$300,K$302,K$304,K$305)</f>
        <v>#REF!</v>
      </c>
    </row>
    <row r="271" spans="1:11" s="728" customFormat="1" ht="15" customHeight="1">
      <c r="A271" s="1715"/>
      <c r="B271" s="1718"/>
      <c r="C271" s="733"/>
      <c r="D271" s="733"/>
      <c r="E271" s="798" t="s">
        <v>202</v>
      </c>
      <c r="F271" s="1721"/>
      <c r="G271" s="733"/>
      <c r="H271" s="734"/>
      <c r="I271" s="735" t="e">
        <f>SUM(I$275,I291)</f>
        <v>#REF!</v>
      </c>
      <c r="J271" s="735">
        <f>SUM(J$275,J291)</f>
        <v>0</v>
      </c>
      <c r="K271" s="736">
        <f>SUM(K$275,K291)</f>
        <v>0</v>
      </c>
    </row>
    <row r="272" spans="1:11" s="728" customFormat="1" ht="15" customHeight="1">
      <c r="A272" s="1715"/>
      <c r="B272" s="1718"/>
      <c r="C272" s="733"/>
      <c r="D272" s="733"/>
      <c r="E272" s="798" t="s">
        <v>353</v>
      </c>
      <c r="F272" s="1722">
        <v>5</v>
      </c>
      <c r="G272" s="733"/>
      <c r="H272" s="734"/>
      <c r="I272" s="735" t="e">
        <f>SUM(I$274,I$284,I$285,I292,I$295,I$298,I$300,I$302,I$304,I$305)</f>
        <v>#REF!</v>
      </c>
      <c r="J272" s="735" t="e">
        <f>SUM(J$274,J$284,J$285,J292,J$295,J$298,J$300,J$302,J$304,J$305)</f>
        <v>#REF!</v>
      </c>
      <c r="K272" s="736" t="e">
        <f>SUM(K$274,K$284,K$285,K292,K$295,K$298,K$300,K$302,K$304,K$305)</f>
        <v>#REF!</v>
      </c>
    </row>
    <row r="273" spans="1:11" s="728" customFormat="1" ht="15" customHeight="1">
      <c r="A273" s="1716"/>
      <c r="B273" s="1719"/>
      <c r="C273" s="737"/>
      <c r="D273" s="737"/>
      <c r="E273" s="799" t="s">
        <v>202</v>
      </c>
      <c r="F273" s="1723"/>
      <c r="G273" s="737"/>
      <c r="H273" s="738"/>
      <c r="I273" s="800" t="e">
        <f>SUM(I$275,I293)</f>
        <v>#REF!</v>
      </c>
      <c r="J273" s="800">
        <f>SUM(J$275,J293)</f>
        <v>0</v>
      </c>
      <c r="K273" s="801">
        <f>SUM(K$275,K293)</f>
        <v>0</v>
      </c>
    </row>
    <row r="274" spans="1:11" s="744" customFormat="1" ht="15">
      <c r="A274" s="739" t="e">
        <f>L_CViec!#REF!</f>
        <v>#REF!</v>
      </c>
      <c r="B274" s="740" t="e">
        <f>L_CViec!#REF!</f>
        <v>#REF!</v>
      </c>
      <c r="C274" s="741" t="e">
        <f>L_CViec!#REF!</f>
        <v>#REF!</v>
      </c>
      <c r="D274" s="741"/>
      <c r="E274" s="741" t="s">
        <v>353</v>
      </c>
      <c r="F274" s="741" t="e">
        <f>L_CViec!#REF!</f>
        <v>#REF!</v>
      </c>
      <c r="G274" s="741" t="e">
        <f>L_CViec!#REF!</f>
        <v>#REF!</v>
      </c>
      <c r="H274" s="742" t="e">
        <f>L_CViec!#REF!</f>
        <v>#REF!</v>
      </c>
      <c r="I274" s="742" t="e">
        <f>SUM(I276,I278,I279,I282)</f>
        <v>#REF!</v>
      </c>
      <c r="J274" s="742" t="e">
        <f>SUM(J276,J278,J279,J282)</f>
        <v>#REF!</v>
      </c>
      <c r="K274" s="743" t="e">
        <f>SUM(K276,K278,K279,K282)</f>
        <v>#REF!</v>
      </c>
    </row>
    <row r="275" spans="1:11" s="744" customFormat="1" ht="15">
      <c r="A275" s="745"/>
      <c r="B275" s="746"/>
      <c r="C275" s="747"/>
      <c r="D275" s="747"/>
      <c r="E275" s="747" t="s">
        <v>202</v>
      </c>
      <c r="F275" s="747"/>
      <c r="G275" s="747"/>
      <c r="H275" s="748"/>
      <c r="I275" s="748" t="e">
        <f>I277+I280</f>
        <v>#REF!</v>
      </c>
      <c r="J275" s="748">
        <f>J277+J280</f>
        <v>0</v>
      </c>
      <c r="K275" s="749">
        <f>K277+K280</f>
        <v>0</v>
      </c>
    </row>
    <row r="276" spans="1:11" s="755" customFormat="1" ht="15">
      <c r="A276" s="750" t="e">
        <f>L_CViec!#REF!</f>
        <v>#REF!</v>
      </c>
      <c r="B276" s="751" t="e">
        <f>L_CViec!#REF!</f>
        <v>#REF!</v>
      </c>
      <c r="C276" s="752" t="e">
        <f>L_CViec!#REF!</f>
        <v>#REF!</v>
      </c>
      <c r="D276" s="752" t="e">
        <f>L_CViec!#REF!</f>
        <v>#REF!</v>
      </c>
      <c r="E276" s="752" t="e">
        <f>L_CViec!#REF!</f>
        <v>#REF!</v>
      </c>
      <c r="F276" s="752" t="e">
        <f>L_CViec!#REF!</f>
        <v>#REF!</v>
      </c>
      <c r="G276" s="752" t="e">
        <f>L_CViec!#REF!</f>
        <v>#REF!</v>
      </c>
      <c r="H276" s="753" t="e">
        <f>L_CViec!#REF!</f>
        <v>#REF!</v>
      </c>
      <c r="I276" s="753" t="e">
        <f>G276*H276*L_CBac!$G$68*10/5000</f>
        <v>#REF!</v>
      </c>
      <c r="J276" s="753" t="e">
        <f>$D276*G276*L_CBac!$J$68*10/5000</f>
        <v>#REF!</v>
      </c>
      <c r="K276" s="754" t="e">
        <f>$D276*$G276*L_CBac!$J$69*10/5000</f>
        <v>#REF!</v>
      </c>
    </row>
    <row r="277" spans="1:11" s="755" customFormat="1" ht="15">
      <c r="A277" s="750" t="e">
        <f>L_CViec!#REF!</f>
        <v>#REF!</v>
      </c>
      <c r="B277" s="751" t="e">
        <f>L_CViec!#REF!</f>
        <v>#REF!</v>
      </c>
      <c r="C277" s="752" t="e">
        <f>L_CViec!#REF!</f>
        <v>#REF!</v>
      </c>
      <c r="D277" s="752" t="e">
        <f>L_CViec!#REF!</f>
        <v>#REF!</v>
      </c>
      <c r="E277" s="752" t="e">
        <f>L_CViec!#REF!</f>
        <v>#REF!</v>
      </c>
      <c r="F277" s="752" t="e">
        <f>L_CViec!#REF!</f>
        <v>#REF!</v>
      </c>
      <c r="G277" s="752" t="e">
        <f>L_CViec!#REF!</f>
        <v>#REF!</v>
      </c>
      <c r="H277" s="753" t="e">
        <f>L_CViec!#REF!</f>
        <v>#REF!</v>
      </c>
      <c r="I277" s="753" t="e">
        <f>G277*H277*L_CBac!$G$68*10/5000</f>
        <v>#REF!</v>
      </c>
      <c r="J277" s="753"/>
      <c r="K277" s="754"/>
    </row>
    <row r="278" spans="1:11" s="755" customFormat="1" ht="61.5" customHeight="1">
      <c r="A278" s="750" t="e">
        <f>L_CViec!#REF!</f>
        <v>#REF!</v>
      </c>
      <c r="B278" s="751" t="e">
        <f>L_CViec!#REF!</f>
        <v>#REF!</v>
      </c>
      <c r="C278" s="752" t="e">
        <f>L_CViec!#REF!</f>
        <v>#REF!</v>
      </c>
      <c r="D278" s="752" t="e">
        <f>L_CViec!#REF!</f>
        <v>#REF!</v>
      </c>
      <c r="E278" s="752" t="e">
        <f>L_CViec!#REF!</f>
        <v>#REF!</v>
      </c>
      <c r="F278" s="752" t="e">
        <f>L_CViec!#REF!</f>
        <v>#REF!</v>
      </c>
      <c r="G278" s="752" t="e">
        <f>L_CViec!#REF!</f>
        <v>#REF!</v>
      </c>
      <c r="H278" s="753" t="e">
        <f>L_CViec!#REF!</f>
        <v>#REF!</v>
      </c>
      <c r="I278" s="753" t="e">
        <f>G278*H278*L_CBac!$G$68*10/5000</f>
        <v>#REF!</v>
      </c>
      <c r="J278" s="753" t="e">
        <f>$D278*G278*L_CBac!$J$68*10/5000</f>
        <v>#REF!</v>
      </c>
      <c r="K278" s="754" t="e">
        <f>$D278*$G278*L_CBac!$J$69*10/5000</f>
        <v>#REF!</v>
      </c>
    </row>
    <row r="279" spans="1:11" s="755" customFormat="1" ht="46.5" customHeight="1">
      <c r="A279" s="750" t="e">
        <f>L_CViec!#REF!</f>
        <v>#REF!</v>
      </c>
      <c r="B279" s="751" t="e">
        <f>L_CViec!#REF!</f>
        <v>#REF!</v>
      </c>
      <c r="C279" s="752" t="e">
        <f>L_CViec!#REF!</f>
        <v>#REF!</v>
      </c>
      <c r="D279" s="752" t="e">
        <f>L_CViec!#REF!</f>
        <v>#REF!</v>
      </c>
      <c r="E279" s="752" t="e">
        <f>L_CViec!#REF!</f>
        <v>#REF!</v>
      </c>
      <c r="F279" s="752" t="e">
        <f>L_CViec!#REF!</f>
        <v>#REF!</v>
      </c>
      <c r="G279" s="752" t="e">
        <f>L_CViec!#REF!</f>
        <v>#REF!</v>
      </c>
      <c r="H279" s="753" t="e">
        <f>L_CViec!#REF!</f>
        <v>#REF!</v>
      </c>
      <c r="I279" s="753" t="e">
        <f>G279*H279*L_CBac!$G$68*10/5000</f>
        <v>#REF!</v>
      </c>
      <c r="J279" s="753" t="e">
        <f>$D279*G279*L_CBac!$J$68*10/5000</f>
        <v>#REF!</v>
      </c>
      <c r="K279" s="754" t="e">
        <f>$D279*$G279*L_CBac!$J$69*10/5000</f>
        <v>#REF!</v>
      </c>
    </row>
    <row r="280" spans="1:11" s="755" customFormat="1" ht="15">
      <c r="A280" s="750" t="e">
        <f>L_CViec!#REF!</f>
        <v>#REF!</v>
      </c>
      <c r="B280" s="751" t="e">
        <f>L_CViec!#REF!</f>
        <v>#REF!</v>
      </c>
      <c r="C280" s="752" t="e">
        <f>L_CViec!#REF!</f>
        <v>#REF!</v>
      </c>
      <c r="D280" s="752" t="e">
        <f>L_CViec!#REF!</f>
        <v>#REF!</v>
      </c>
      <c r="E280" s="752" t="e">
        <f>L_CViec!#REF!</f>
        <v>#REF!</v>
      </c>
      <c r="F280" s="752" t="e">
        <f>L_CViec!#REF!</f>
        <v>#REF!</v>
      </c>
      <c r="G280" s="752" t="e">
        <f>L_CViec!#REF!</f>
        <v>#REF!</v>
      </c>
      <c r="H280" s="753" t="e">
        <f>L_CViec!#REF!</f>
        <v>#REF!</v>
      </c>
      <c r="I280" s="753" t="e">
        <f>G280*H280*L_CBac!$G$68*10/5000</f>
        <v>#REF!</v>
      </c>
      <c r="J280" s="753"/>
      <c r="K280" s="754"/>
    </row>
    <row r="281" spans="1:11" s="767" customFormat="1" ht="30" customHeight="1">
      <c r="A281" s="762" t="e">
        <f>L_CViec!#REF!</f>
        <v>#REF!</v>
      </c>
      <c r="B281" s="763" t="e">
        <f>L_CViec!#REF!</f>
        <v>#REF!</v>
      </c>
      <c r="C281" s="764" t="e">
        <f>L_CViec!#REF!</f>
        <v>#REF!</v>
      </c>
      <c r="D281" s="764" t="e">
        <f>L_CViec!#REF!</f>
        <v>#REF!</v>
      </c>
      <c r="E281" s="764" t="e">
        <f>L_CViec!#REF!</f>
        <v>#REF!</v>
      </c>
      <c r="F281" s="764" t="e">
        <f>L_CViec!#REF!</f>
        <v>#REF!</v>
      </c>
      <c r="G281" s="764" t="e">
        <f>L_CViec!#REF!</f>
        <v>#REF!</v>
      </c>
      <c r="H281" s="765" t="e">
        <f>L_CViec!#REF!</f>
        <v>#REF!</v>
      </c>
      <c r="I281" s="765"/>
      <c r="J281" s="765"/>
      <c r="K281" s="766"/>
    </row>
    <row r="282" spans="1:11" s="767" customFormat="1" ht="20.100000000000001" customHeight="1">
      <c r="A282" s="762" t="e">
        <f>L_CViec!#REF!</f>
        <v>#REF!</v>
      </c>
      <c r="B282" s="763" t="e">
        <f>L_CViec!#REF!</f>
        <v>#REF!</v>
      </c>
      <c r="C282" s="764" t="e">
        <f>L_CViec!#REF!</f>
        <v>#REF!</v>
      </c>
      <c r="D282" s="764" t="e">
        <f>L_CViec!#REF!</f>
        <v>#REF!</v>
      </c>
      <c r="E282" s="764" t="e">
        <f>L_CViec!#REF!</f>
        <v>#REF!</v>
      </c>
      <c r="F282" s="764" t="e">
        <f>L_CViec!#REF!</f>
        <v>#REF!</v>
      </c>
      <c r="G282" s="764" t="e">
        <f>L_CViec!#REF!</f>
        <v>#REF!</v>
      </c>
      <c r="H282" s="765" t="e">
        <f>L_CViec!#REF!</f>
        <v>#REF!</v>
      </c>
      <c r="I282" s="765" t="e">
        <f>G282*H282*L_CBac!$G$68</f>
        <v>#REF!</v>
      </c>
      <c r="J282" s="765" t="e">
        <f>$D282*G282*L_CBac!$J$68</f>
        <v>#REF!</v>
      </c>
      <c r="K282" s="766" t="e">
        <f>$D282*$G282*L_CBac!$J$69</f>
        <v>#REF!</v>
      </c>
    </row>
    <row r="283" spans="1:11" s="767" customFormat="1" ht="20.100000000000001" customHeight="1">
      <c r="A283" s="762" t="e">
        <f>L_CViec!#REF!</f>
        <v>#REF!</v>
      </c>
      <c r="B283" s="763" t="e">
        <f>L_CViec!#REF!</f>
        <v>#REF!</v>
      </c>
      <c r="C283" s="764" t="e">
        <f>L_CViec!#REF!</f>
        <v>#REF!</v>
      </c>
      <c r="D283" s="764" t="e">
        <f>L_CViec!#REF!</f>
        <v>#REF!</v>
      </c>
      <c r="E283" s="764" t="e">
        <f>L_CViec!#REF!</f>
        <v>#REF!</v>
      </c>
      <c r="F283" s="764" t="e">
        <f>L_CViec!#REF!</f>
        <v>#REF!</v>
      </c>
      <c r="G283" s="764" t="e">
        <f>L_CViec!#REF!</f>
        <v>#REF!</v>
      </c>
      <c r="H283" s="765" t="e">
        <f>L_CViec!#REF!</f>
        <v>#REF!</v>
      </c>
      <c r="I283" s="765" t="e">
        <f>G283*H283*L_CBac!$G$68</f>
        <v>#REF!</v>
      </c>
      <c r="J283" s="765" t="e">
        <f>$D283*G283*L_CBac!$J$68</f>
        <v>#REF!</v>
      </c>
      <c r="K283" s="766" t="e">
        <f>$D283*$G283*L_CBac!$J$69</f>
        <v>#REF!</v>
      </c>
    </row>
    <row r="284" spans="1:11" s="761" customFormat="1" ht="15">
      <c r="A284" s="756" t="e">
        <f>L_CViec!#REF!</f>
        <v>#REF!</v>
      </c>
      <c r="B284" s="757" t="e">
        <f>L_CViec!#REF!</f>
        <v>#REF!</v>
      </c>
      <c r="C284" s="758" t="e">
        <f>L_CViec!#REF!</f>
        <v>#REF!</v>
      </c>
      <c r="D284" s="758" t="e">
        <f>L_CViec!#REF!</f>
        <v>#REF!</v>
      </c>
      <c r="E284" s="758" t="e">
        <f>L_CViec!#REF!</f>
        <v>#REF!</v>
      </c>
      <c r="F284" s="758" t="e">
        <f>L_CViec!#REF!</f>
        <v>#REF!</v>
      </c>
      <c r="G284" s="758" t="e">
        <f>L_CViec!#REF!</f>
        <v>#REF!</v>
      </c>
      <c r="H284" s="759" t="e">
        <f>L_CViec!#REF!</f>
        <v>#REF!</v>
      </c>
      <c r="I284" s="759" t="e">
        <f>G284*H284*L_CBac!$G$68</f>
        <v>#REF!</v>
      </c>
      <c r="J284" s="759" t="e">
        <f>$D284*G284*L_CBac!$J$68</f>
        <v>#REF!</v>
      </c>
      <c r="K284" s="760" t="e">
        <f>$D284*$G284*L_CBac!$J$69</f>
        <v>#REF!</v>
      </c>
    </row>
    <row r="285" spans="1:11" s="761" customFormat="1" ht="15">
      <c r="A285" s="756" t="e">
        <f>L_CViec!#REF!</f>
        <v>#REF!</v>
      </c>
      <c r="B285" s="757" t="e">
        <f>L_CViec!#REF!</f>
        <v>#REF!</v>
      </c>
      <c r="C285" s="758" t="e">
        <f>L_CViec!#REF!</f>
        <v>#REF!</v>
      </c>
      <c r="D285" s="758" t="e">
        <f>L_CViec!#REF!</f>
        <v>#REF!</v>
      </c>
      <c r="E285" s="758" t="e">
        <f>L_CViec!#REF!</f>
        <v>#REF!</v>
      </c>
      <c r="F285" s="758" t="e">
        <f>L_CViec!#REF!</f>
        <v>#REF!</v>
      </c>
      <c r="G285" s="758" t="e">
        <f>L_CViec!#REF!</f>
        <v>#REF!</v>
      </c>
      <c r="H285" s="759" t="e">
        <f>L_CViec!#REF!</f>
        <v>#REF!</v>
      </c>
      <c r="I285" s="759" t="e">
        <f>G285*H285*L_CBac!$G$68</f>
        <v>#REF!</v>
      </c>
      <c r="J285" s="759" t="e">
        <f>$D285*G285*L_CBac!$J$68</f>
        <v>#REF!</v>
      </c>
      <c r="K285" s="760" t="e">
        <f>$D285*$G285*L_CBac!$J$69</f>
        <v>#REF!</v>
      </c>
    </row>
    <row r="286" spans="1:11" s="761" customFormat="1" ht="15">
      <c r="A286" s="756" t="e">
        <f>L_CViec!#REF!</f>
        <v>#REF!</v>
      </c>
      <c r="B286" s="757" t="e">
        <f>L_CViec!#REF!</f>
        <v>#REF!</v>
      </c>
      <c r="C286" s="758" t="e">
        <f>L_CViec!#REF!</f>
        <v>#REF!</v>
      </c>
      <c r="D286" s="758" t="e">
        <f>L_CViec!#REF!</f>
        <v>#REF!</v>
      </c>
      <c r="E286" s="758" t="e">
        <f>L_CViec!#REF!</f>
        <v>#REF!</v>
      </c>
      <c r="F286" s="758" t="e">
        <f>L_CViec!#REF!</f>
        <v>#REF!</v>
      </c>
      <c r="G286" s="758" t="e">
        <f>L_CViec!#REF!</f>
        <v>#REF!</v>
      </c>
      <c r="H286" s="759" t="e">
        <f>L_CViec!#REF!</f>
        <v>#REF!</v>
      </c>
      <c r="I286" s="759" t="e">
        <f>G286*H286*L_CBac!$G$68</f>
        <v>#REF!</v>
      </c>
      <c r="J286" s="759" t="e">
        <f>$D286*G286*L_CBac!$J$68</f>
        <v>#REF!</v>
      </c>
      <c r="K286" s="760" t="e">
        <f>$D286*$G286*L_CBac!$J$69</f>
        <v>#REF!</v>
      </c>
    </row>
    <row r="287" spans="1:11" s="761" customFormat="1" ht="15">
      <c r="A287" s="756" t="e">
        <f>L_CViec!#REF!</f>
        <v>#REF!</v>
      </c>
      <c r="B287" s="757" t="e">
        <f>L_CViec!#REF!</f>
        <v>#REF!</v>
      </c>
      <c r="C287" s="758" t="e">
        <f>L_CViec!#REF!</f>
        <v>#REF!</v>
      </c>
      <c r="D287" s="758" t="e">
        <f>L_CViec!#REF!</f>
        <v>#REF!</v>
      </c>
      <c r="E287" s="758" t="e">
        <f>L_CViec!#REF!</f>
        <v>#REF!</v>
      </c>
      <c r="F287" s="758" t="e">
        <f>L_CViec!#REF!</f>
        <v>#REF!</v>
      </c>
      <c r="G287" s="758" t="e">
        <f>L_CViec!#REF!</f>
        <v>#REF!</v>
      </c>
      <c r="H287" s="759" t="e">
        <f>L_CViec!#REF!</f>
        <v>#REF!</v>
      </c>
      <c r="I287" s="759" t="e">
        <f>G287*H287*L_CBac!$G$68</f>
        <v>#REF!</v>
      </c>
      <c r="J287" s="759"/>
      <c r="K287" s="760"/>
    </row>
    <row r="288" spans="1:11" s="761" customFormat="1" ht="15">
      <c r="A288" s="756" t="e">
        <f>L_CViec!#REF!</f>
        <v>#REF!</v>
      </c>
      <c r="B288" s="757" t="e">
        <f>L_CViec!#REF!</f>
        <v>#REF!</v>
      </c>
      <c r="C288" s="758" t="e">
        <f>L_CViec!#REF!</f>
        <v>#REF!</v>
      </c>
      <c r="D288" s="758" t="e">
        <f>L_CViec!#REF!</f>
        <v>#REF!</v>
      </c>
      <c r="E288" s="758" t="e">
        <f>L_CViec!#REF!</f>
        <v>#REF!</v>
      </c>
      <c r="F288" s="758" t="e">
        <f>L_CViec!#REF!</f>
        <v>#REF!</v>
      </c>
      <c r="G288" s="758" t="e">
        <f>L_CViec!#REF!</f>
        <v>#REF!</v>
      </c>
      <c r="H288" s="759" t="e">
        <f>L_CViec!#REF!</f>
        <v>#REF!</v>
      </c>
      <c r="I288" s="759" t="e">
        <f>G288*H288*L_CBac!$G$68</f>
        <v>#REF!</v>
      </c>
      <c r="J288" s="759" t="e">
        <f>$D288*G288*L_CBac!$J$68</f>
        <v>#REF!</v>
      </c>
      <c r="K288" s="760" t="e">
        <f>$D288*$G288*L_CBac!$J$69</f>
        <v>#REF!</v>
      </c>
    </row>
    <row r="289" spans="1:11" s="761" customFormat="1" ht="15">
      <c r="A289" s="756" t="e">
        <f>L_CViec!#REF!</f>
        <v>#REF!</v>
      </c>
      <c r="B289" s="757" t="e">
        <f>L_CViec!#REF!</f>
        <v>#REF!</v>
      </c>
      <c r="C289" s="758" t="e">
        <f>L_CViec!#REF!</f>
        <v>#REF!</v>
      </c>
      <c r="D289" s="758" t="e">
        <f>L_CViec!#REF!</f>
        <v>#REF!</v>
      </c>
      <c r="E289" s="758" t="e">
        <f>L_CViec!#REF!</f>
        <v>#REF!</v>
      </c>
      <c r="F289" s="758" t="e">
        <f>L_CViec!#REF!</f>
        <v>#REF!</v>
      </c>
      <c r="G289" s="758" t="e">
        <f>L_CViec!#REF!</f>
        <v>#REF!</v>
      </c>
      <c r="H289" s="759" t="e">
        <f>L_CViec!#REF!</f>
        <v>#REF!</v>
      </c>
      <c r="I289" s="759" t="e">
        <f>G289*H289*L_CBac!$G$68</f>
        <v>#REF!</v>
      </c>
      <c r="J289" s="759"/>
      <c r="K289" s="760"/>
    </row>
    <row r="290" spans="1:11" s="761" customFormat="1" ht="15">
      <c r="A290" s="756" t="e">
        <f>L_CViec!#REF!</f>
        <v>#REF!</v>
      </c>
      <c r="B290" s="757" t="e">
        <f>L_CViec!#REF!</f>
        <v>#REF!</v>
      </c>
      <c r="C290" s="758" t="e">
        <f>L_CViec!#REF!</f>
        <v>#REF!</v>
      </c>
      <c r="D290" s="758" t="e">
        <f>L_CViec!#REF!</f>
        <v>#REF!</v>
      </c>
      <c r="E290" s="758" t="e">
        <f>L_CViec!#REF!</f>
        <v>#REF!</v>
      </c>
      <c r="F290" s="758" t="e">
        <f>L_CViec!#REF!</f>
        <v>#REF!</v>
      </c>
      <c r="G290" s="758" t="e">
        <f>L_CViec!#REF!</f>
        <v>#REF!</v>
      </c>
      <c r="H290" s="759" t="e">
        <f>L_CViec!#REF!</f>
        <v>#REF!</v>
      </c>
      <c r="I290" s="759" t="e">
        <f>G290*H290*L_CBac!$G$68</f>
        <v>#REF!</v>
      </c>
      <c r="J290" s="759" t="e">
        <f>$D290*G290*L_CBac!$J$68</f>
        <v>#REF!</v>
      </c>
      <c r="K290" s="760" t="e">
        <f>$D290*$G290*L_CBac!$J$69</f>
        <v>#REF!</v>
      </c>
    </row>
    <row r="291" spans="1:11" s="761" customFormat="1" ht="15">
      <c r="A291" s="756" t="e">
        <f>L_CViec!#REF!</f>
        <v>#REF!</v>
      </c>
      <c r="B291" s="757" t="e">
        <f>L_CViec!#REF!</f>
        <v>#REF!</v>
      </c>
      <c r="C291" s="758" t="e">
        <f>L_CViec!#REF!</f>
        <v>#REF!</v>
      </c>
      <c r="D291" s="758" t="e">
        <f>L_CViec!#REF!</f>
        <v>#REF!</v>
      </c>
      <c r="E291" s="758" t="e">
        <f>L_CViec!#REF!</f>
        <v>#REF!</v>
      </c>
      <c r="F291" s="758" t="e">
        <f>L_CViec!#REF!</f>
        <v>#REF!</v>
      </c>
      <c r="G291" s="758" t="e">
        <f>L_CViec!#REF!</f>
        <v>#REF!</v>
      </c>
      <c r="H291" s="759" t="e">
        <f>L_CViec!#REF!</f>
        <v>#REF!</v>
      </c>
      <c r="I291" s="759" t="e">
        <f>G291*H291*L_CBac!$G$68</f>
        <v>#REF!</v>
      </c>
      <c r="J291" s="759"/>
      <c r="K291" s="760"/>
    </row>
    <row r="292" spans="1:11" s="761" customFormat="1" ht="15">
      <c r="A292" s="756" t="e">
        <f>L_CViec!#REF!</f>
        <v>#REF!</v>
      </c>
      <c r="B292" s="757" t="e">
        <f>L_CViec!#REF!</f>
        <v>#REF!</v>
      </c>
      <c r="C292" s="758" t="e">
        <f>L_CViec!#REF!</f>
        <v>#REF!</v>
      </c>
      <c r="D292" s="758" t="e">
        <f>L_CViec!#REF!</f>
        <v>#REF!</v>
      </c>
      <c r="E292" s="758" t="e">
        <f>L_CViec!#REF!</f>
        <v>#REF!</v>
      </c>
      <c r="F292" s="758" t="e">
        <f>L_CViec!#REF!</f>
        <v>#REF!</v>
      </c>
      <c r="G292" s="758" t="e">
        <f>L_CViec!#REF!</f>
        <v>#REF!</v>
      </c>
      <c r="H292" s="759" t="e">
        <f>L_CViec!#REF!</f>
        <v>#REF!</v>
      </c>
      <c r="I292" s="759" t="e">
        <f>G292*H292*L_CBac!$G$68</f>
        <v>#REF!</v>
      </c>
      <c r="J292" s="759" t="e">
        <f>$D292*G292*L_CBac!$J$68</f>
        <v>#REF!</v>
      </c>
      <c r="K292" s="760" t="e">
        <f>$D292*$G292*L_CBac!$J$69</f>
        <v>#REF!</v>
      </c>
    </row>
    <row r="293" spans="1:11" s="761" customFormat="1" ht="15">
      <c r="A293" s="756" t="e">
        <f>L_CViec!#REF!</f>
        <v>#REF!</v>
      </c>
      <c r="B293" s="757" t="e">
        <f>L_CViec!#REF!</f>
        <v>#REF!</v>
      </c>
      <c r="C293" s="758" t="e">
        <f>L_CViec!#REF!</f>
        <v>#REF!</v>
      </c>
      <c r="D293" s="758" t="e">
        <f>L_CViec!#REF!</f>
        <v>#REF!</v>
      </c>
      <c r="E293" s="758" t="e">
        <f>L_CViec!#REF!</f>
        <v>#REF!</v>
      </c>
      <c r="F293" s="758" t="e">
        <f>L_CViec!#REF!</f>
        <v>#REF!</v>
      </c>
      <c r="G293" s="758" t="e">
        <f>L_CViec!#REF!</f>
        <v>#REF!</v>
      </c>
      <c r="H293" s="759" t="e">
        <f>L_CViec!#REF!</f>
        <v>#REF!</v>
      </c>
      <c r="I293" s="759" t="e">
        <f>G293*H293*L_CBac!$G$68</f>
        <v>#REF!</v>
      </c>
      <c r="J293" s="759"/>
      <c r="K293" s="760"/>
    </row>
    <row r="294" spans="1:11" s="761" customFormat="1" ht="15">
      <c r="A294" s="756" t="e">
        <f>L_CViec!#REF!</f>
        <v>#REF!</v>
      </c>
      <c r="B294" s="757" t="e">
        <f>L_CViec!#REF!</f>
        <v>#REF!</v>
      </c>
      <c r="C294" s="758" t="e">
        <f>L_CViec!#REF!</f>
        <v>#REF!</v>
      </c>
      <c r="D294" s="758" t="e">
        <f>L_CViec!#REF!</f>
        <v>#REF!</v>
      </c>
      <c r="E294" s="758" t="e">
        <f>L_CViec!#REF!</f>
        <v>#REF!</v>
      </c>
      <c r="F294" s="758" t="e">
        <f>L_CViec!#REF!</f>
        <v>#REF!</v>
      </c>
      <c r="G294" s="758" t="e">
        <f>L_CViec!#REF!</f>
        <v>#REF!</v>
      </c>
      <c r="H294" s="759" t="e">
        <f>L_CViec!#REF!</f>
        <v>#REF!</v>
      </c>
      <c r="I294" s="759"/>
      <c r="J294" s="759"/>
      <c r="K294" s="760"/>
    </row>
    <row r="295" spans="1:11" s="767" customFormat="1" ht="15">
      <c r="A295" s="762" t="e">
        <f>L_CViec!#REF!</f>
        <v>#REF!</v>
      </c>
      <c r="B295" s="763" t="e">
        <f>L_CViec!#REF!</f>
        <v>#REF!</v>
      </c>
      <c r="C295" s="764" t="e">
        <f>L_CViec!#REF!</f>
        <v>#REF!</v>
      </c>
      <c r="D295" s="764" t="e">
        <f>L_CViec!#REF!</f>
        <v>#REF!</v>
      </c>
      <c r="E295" s="764" t="e">
        <f>L_CViec!#REF!</f>
        <v>#REF!</v>
      </c>
      <c r="F295" s="764" t="e">
        <f>L_CViec!#REF!</f>
        <v>#REF!</v>
      </c>
      <c r="G295" s="764" t="e">
        <f>L_CViec!#REF!</f>
        <v>#REF!</v>
      </c>
      <c r="H295" s="765" t="e">
        <f>L_CViec!#REF!</f>
        <v>#REF!</v>
      </c>
      <c r="I295" s="765" t="e">
        <f>G295*H295*L_CBac!$G$68</f>
        <v>#REF!</v>
      </c>
      <c r="J295" s="765" t="e">
        <f>$D295*G295*L_CBac!$J$68</f>
        <v>#REF!</v>
      </c>
      <c r="K295" s="766" t="e">
        <f>$D295*$G295*L_CBac!$J$69</f>
        <v>#REF!</v>
      </c>
    </row>
    <row r="296" spans="1:11" s="767" customFormat="1" ht="15">
      <c r="A296" s="762" t="e">
        <f>L_CViec!#REF!</f>
        <v>#REF!</v>
      </c>
      <c r="B296" s="763" t="e">
        <f>L_CViec!#REF!</f>
        <v>#REF!</v>
      </c>
      <c r="C296" s="764" t="e">
        <f>L_CViec!#REF!</f>
        <v>#REF!</v>
      </c>
      <c r="D296" s="764" t="e">
        <f>L_CViec!#REF!</f>
        <v>#REF!</v>
      </c>
      <c r="E296" s="764" t="e">
        <f>L_CViec!#REF!</f>
        <v>#REF!</v>
      </c>
      <c r="F296" s="764" t="e">
        <f>L_CViec!#REF!</f>
        <v>#REF!</v>
      </c>
      <c r="G296" s="764" t="e">
        <f>L_CViec!#REF!</f>
        <v>#REF!</v>
      </c>
      <c r="H296" s="765" t="e">
        <f>L_CViec!#REF!</f>
        <v>#REF!</v>
      </c>
      <c r="I296" s="765" t="e">
        <f>G296*H296*L_CBac!$G$68</f>
        <v>#REF!</v>
      </c>
      <c r="J296" s="765" t="e">
        <f>$D296*G296*L_CBac!$J$68</f>
        <v>#REF!</v>
      </c>
      <c r="K296" s="766" t="e">
        <f>$D296*$G296*L_CBac!$J$69</f>
        <v>#REF!</v>
      </c>
    </row>
    <row r="297" spans="1:11" s="761" customFormat="1" ht="15">
      <c r="A297" s="756" t="e">
        <f>L_CViec!#REF!</f>
        <v>#REF!</v>
      </c>
      <c r="B297" s="757" t="e">
        <f>L_CViec!#REF!</f>
        <v>#REF!</v>
      </c>
      <c r="C297" s="758" t="e">
        <f>L_CViec!#REF!</f>
        <v>#REF!</v>
      </c>
      <c r="D297" s="758" t="e">
        <f>L_CViec!#REF!</f>
        <v>#REF!</v>
      </c>
      <c r="E297" s="758" t="e">
        <f>L_CViec!#REF!</f>
        <v>#REF!</v>
      </c>
      <c r="F297" s="758" t="e">
        <f>L_CViec!#REF!</f>
        <v>#REF!</v>
      </c>
      <c r="G297" s="758" t="e">
        <f>L_CViec!#REF!</f>
        <v>#REF!</v>
      </c>
      <c r="H297" s="759" t="e">
        <f>L_CViec!#REF!</f>
        <v>#REF!</v>
      </c>
      <c r="I297" s="759"/>
      <c r="J297" s="759"/>
      <c r="K297" s="760"/>
    </row>
    <row r="298" spans="1:11" s="767" customFormat="1" ht="15">
      <c r="A298" s="762" t="e">
        <f>L_CViec!#REF!</f>
        <v>#REF!</v>
      </c>
      <c r="B298" s="763" t="e">
        <f>L_CViec!#REF!</f>
        <v>#REF!</v>
      </c>
      <c r="C298" s="764" t="e">
        <f>L_CViec!#REF!</f>
        <v>#REF!</v>
      </c>
      <c r="D298" s="764" t="e">
        <f>L_CViec!#REF!</f>
        <v>#REF!</v>
      </c>
      <c r="E298" s="764" t="e">
        <f>L_CViec!#REF!</f>
        <v>#REF!</v>
      </c>
      <c r="F298" s="764" t="e">
        <f>L_CViec!#REF!</f>
        <v>#REF!</v>
      </c>
      <c r="G298" s="764" t="e">
        <f>L_CViec!#REF!</f>
        <v>#REF!</v>
      </c>
      <c r="H298" s="765" t="e">
        <f>L_CViec!#REF!</f>
        <v>#REF!</v>
      </c>
      <c r="I298" s="765" t="e">
        <f>G298*H298*L_CBac!$G$68</f>
        <v>#REF!</v>
      </c>
      <c r="J298" s="765" t="e">
        <f>$D298*G298*L_CBac!$J$68</f>
        <v>#REF!</v>
      </c>
      <c r="K298" s="766" t="e">
        <f>$D298*$G298*L_CBac!$J$69</f>
        <v>#REF!</v>
      </c>
    </row>
    <row r="299" spans="1:11" s="767" customFormat="1" ht="15">
      <c r="A299" s="762" t="e">
        <f>L_CViec!#REF!</f>
        <v>#REF!</v>
      </c>
      <c r="B299" s="763" t="e">
        <f>L_CViec!#REF!</f>
        <v>#REF!</v>
      </c>
      <c r="C299" s="764" t="e">
        <f>L_CViec!#REF!</f>
        <v>#REF!</v>
      </c>
      <c r="D299" s="764" t="e">
        <f>L_CViec!#REF!</f>
        <v>#REF!</v>
      </c>
      <c r="E299" s="764" t="e">
        <f>L_CViec!#REF!</f>
        <v>#REF!</v>
      </c>
      <c r="F299" s="764" t="e">
        <f>L_CViec!#REF!</f>
        <v>#REF!</v>
      </c>
      <c r="G299" s="764" t="e">
        <f>L_CViec!#REF!</f>
        <v>#REF!</v>
      </c>
      <c r="H299" s="765" t="e">
        <f>L_CViec!#REF!</f>
        <v>#REF!</v>
      </c>
      <c r="I299" s="765" t="e">
        <f>G299*H299*L_CBac!$G$68</f>
        <v>#REF!</v>
      </c>
      <c r="J299" s="765" t="e">
        <f>$D299*G299*L_CBac!$J$68</f>
        <v>#REF!</v>
      </c>
      <c r="K299" s="766" t="e">
        <f>$D299*$G299*L_CBac!$J$69</f>
        <v>#REF!</v>
      </c>
    </row>
    <row r="300" spans="1:11" s="761" customFormat="1" ht="15">
      <c r="A300" s="756" t="e">
        <f>L_CViec!#REF!</f>
        <v>#REF!</v>
      </c>
      <c r="B300" s="757" t="e">
        <f>L_CViec!#REF!</f>
        <v>#REF!</v>
      </c>
      <c r="C300" s="758" t="e">
        <f>L_CViec!#REF!</f>
        <v>#REF!</v>
      </c>
      <c r="D300" s="758" t="e">
        <f>L_CViec!#REF!</f>
        <v>#REF!</v>
      </c>
      <c r="E300" s="758" t="e">
        <f>L_CViec!#REF!</f>
        <v>#REF!</v>
      </c>
      <c r="F300" s="758" t="e">
        <f>L_CViec!#REF!</f>
        <v>#REF!</v>
      </c>
      <c r="G300" s="758" t="e">
        <f>L_CViec!#REF!</f>
        <v>#REF!</v>
      </c>
      <c r="H300" s="759" t="e">
        <f>L_CViec!#REF!</f>
        <v>#REF!</v>
      </c>
      <c r="I300" s="759" t="e">
        <f>G300*H300*L_CBac!$G$68</f>
        <v>#REF!</v>
      </c>
      <c r="J300" s="759" t="e">
        <f>$D300*G300*L_CBac!$J$68</f>
        <v>#REF!</v>
      </c>
      <c r="K300" s="760" t="e">
        <f>$D300*$G300*L_CBac!$J$69</f>
        <v>#REF!</v>
      </c>
    </row>
    <row r="301" spans="1:11" s="761" customFormat="1" ht="15">
      <c r="A301" s="756" t="e">
        <f>L_CViec!#REF!</f>
        <v>#REF!</v>
      </c>
      <c r="B301" s="757" t="e">
        <f>L_CViec!#REF!</f>
        <v>#REF!</v>
      </c>
      <c r="C301" s="758" t="e">
        <f>L_CViec!#REF!</f>
        <v>#REF!</v>
      </c>
      <c r="D301" s="758" t="e">
        <f>L_CViec!#REF!</f>
        <v>#REF!</v>
      </c>
      <c r="E301" s="758" t="e">
        <f>L_CViec!#REF!</f>
        <v>#REF!</v>
      </c>
      <c r="F301" s="758" t="e">
        <f>L_CViec!#REF!</f>
        <v>#REF!</v>
      </c>
      <c r="G301" s="758" t="e">
        <f>L_CViec!#REF!</f>
        <v>#REF!</v>
      </c>
      <c r="H301" s="759" t="e">
        <f>L_CViec!#REF!</f>
        <v>#REF!</v>
      </c>
      <c r="I301" s="759"/>
      <c r="J301" s="759"/>
      <c r="K301" s="760"/>
    </row>
    <row r="302" spans="1:11" s="767" customFormat="1" ht="15">
      <c r="A302" s="762" t="e">
        <f>L_CViec!#REF!</f>
        <v>#REF!</v>
      </c>
      <c r="B302" s="763" t="e">
        <f>L_CViec!#REF!</f>
        <v>#REF!</v>
      </c>
      <c r="C302" s="764" t="e">
        <f>L_CViec!#REF!</f>
        <v>#REF!</v>
      </c>
      <c r="D302" s="764" t="e">
        <f>L_CViec!#REF!</f>
        <v>#REF!</v>
      </c>
      <c r="E302" s="764" t="e">
        <f>L_CViec!#REF!</f>
        <v>#REF!</v>
      </c>
      <c r="F302" s="764" t="e">
        <f>L_CViec!#REF!</f>
        <v>#REF!</v>
      </c>
      <c r="G302" s="764" t="e">
        <f>L_CViec!#REF!</f>
        <v>#REF!</v>
      </c>
      <c r="H302" s="765" t="e">
        <f>L_CViec!#REF!</f>
        <v>#REF!</v>
      </c>
      <c r="I302" s="765" t="e">
        <f>G302*H302*L_CBac!$G$68</f>
        <v>#REF!</v>
      </c>
      <c r="J302" s="765" t="e">
        <f>$D302*G302*L_CBac!$J$68</f>
        <v>#REF!</v>
      </c>
      <c r="K302" s="766" t="e">
        <f>$D302*$G302*L_CBac!$J$69</f>
        <v>#REF!</v>
      </c>
    </row>
    <row r="303" spans="1:11" s="767" customFormat="1" ht="15">
      <c r="A303" s="762" t="e">
        <f>L_CViec!#REF!</f>
        <v>#REF!</v>
      </c>
      <c r="B303" s="763" t="e">
        <f>L_CViec!#REF!</f>
        <v>#REF!</v>
      </c>
      <c r="C303" s="764" t="e">
        <f>L_CViec!#REF!</f>
        <v>#REF!</v>
      </c>
      <c r="D303" s="764" t="e">
        <f>L_CViec!#REF!</f>
        <v>#REF!</v>
      </c>
      <c r="E303" s="764" t="e">
        <f>L_CViec!#REF!</f>
        <v>#REF!</v>
      </c>
      <c r="F303" s="764" t="e">
        <f>L_CViec!#REF!</f>
        <v>#REF!</v>
      </c>
      <c r="G303" s="764" t="e">
        <f>L_CViec!#REF!</f>
        <v>#REF!</v>
      </c>
      <c r="H303" s="765" t="e">
        <f>L_CViec!#REF!</f>
        <v>#REF!</v>
      </c>
      <c r="I303" s="765" t="e">
        <f>G303*H303*L_CBac!$G$68</f>
        <v>#REF!</v>
      </c>
      <c r="J303" s="765" t="e">
        <f>$D303*G303*L_CBac!$J$68</f>
        <v>#REF!</v>
      </c>
      <c r="K303" s="766" t="e">
        <f>$D303*$G303*L_CBac!$J$69</f>
        <v>#REF!</v>
      </c>
    </row>
    <row r="304" spans="1:11" s="761" customFormat="1" ht="15">
      <c r="A304" s="756" t="e">
        <f>L_CViec!#REF!</f>
        <v>#REF!</v>
      </c>
      <c r="B304" s="757" t="e">
        <f>L_CViec!#REF!</f>
        <v>#REF!</v>
      </c>
      <c r="C304" s="758" t="e">
        <f>L_CViec!#REF!</f>
        <v>#REF!</v>
      </c>
      <c r="D304" s="758" t="e">
        <f>L_CViec!#REF!</f>
        <v>#REF!</v>
      </c>
      <c r="E304" s="758" t="e">
        <f>L_CViec!#REF!</f>
        <v>#REF!</v>
      </c>
      <c r="F304" s="758" t="e">
        <f>L_CViec!#REF!</f>
        <v>#REF!</v>
      </c>
      <c r="G304" s="758" t="e">
        <f>L_CViec!#REF!</f>
        <v>#REF!</v>
      </c>
      <c r="H304" s="759" t="e">
        <f>L_CViec!#REF!</f>
        <v>#REF!</v>
      </c>
      <c r="I304" s="759" t="e">
        <f>G304*H304*L_CBac!$G$68</f>
        <v>#REF!</v>
      </c>
      <c r="J304" s="759" t="e">
        <f>$D304*G304*L_CBac!$J$68</f>
        <v>#REF!</v>
      </c>
      <c r="K304" s="760" t="e">
        <f>$D304*$G304*L_CBac!$J$69</f>
        <v>#REF!</v>
      </c>
    </row>
    <row r="305" spans="1:11" s="761" customFormat="1" ht="15">
      <c r="A305" s="756" t="e">
        <f>L_CViec!#REF!</f>
        <v>#REF!</v>
      </c>
      <c r="B305" s="757" t="e">
        <f>L_CViec!#REF!</f>
        <v>#REF!</v>
      </c>
      <c r="C305" s="758" t="e">
        <f>L_CViec!#REF!</f>
        <v>#REF!</v>
      </c>
      <c r="D305" s="758" t="e">
        <f>L_CViec!#REF!</f>
        <v>#REF!</v>
      </c>
      <c r="E305" s="758" t="e">
        <f>L_CViec!#REF!</f>
        <v>#REF!</v>
      </c>
      <c r="F305" s="758" t="e">
        <f>L_CViec!#REF!</f>
        <v>#REF!</v>
      </c>
      <c r="G305" s="758" t="e">
        <f>L_CViec!#REF!</f>
        <v>#REF!</v>
      </c>
      <c r="H305" s="759" t="e">
        <f>L_CViec!#REF!</f>
        <v>#REF!</v>
      </c>
      <c r="I305" s="759" t="e">
        <f>G305*H305*L_CBac!$G$68</f>
        <v>#REF!</v>
      </c>
      <c r="J305" s="759" t="e">
        <f>$D305*G305*L_CBac!$J$68</f>
        <v>#REF!</v>
      </c>
      <c r="K305" s="760" t="e">
        <f>$D305*$G305*L_CBac!$J$69</f>
        <v>#REF!</v>
      </c>
    </row>
    <row r="306" spans="1:11" s="761" customFormat="1" ht="15">
      <c r="A306" s="768" t="e">
        <f>L_CViec!#REF!</f>
        <v>#REF!</v>
      </c>
      <c r="B306" s="733" t="e">
        <f>L_CViec!#REF!</f>
        <v>#REF!</v>
      </c>
      <c r="C306" s="733" t="e">
        <f>L_CViec!#REF!</f>
        <v>#REF!</v>
      </c>
      <c r="D306" s="733" t="e">
        <f>L_CViec!#REF!</f>
        <v>#REF!</v>
      </c>
      <c r="E306" s="733" t="e">
        <f>L_CViec!#REF!</f>
        <v>#REF!</v>
      </c>
      <c r="F306" s="733" t="e">
        <f>L_CViec!#REF!</f>
        <v>#REF!</v>
      </c>
      <c r="G306" s="733" t="e">
        <f>L_CViec!#REF!</f>
        <v>#REF!</v>
      </c>
      <c r="H306" s="734" t="e">
        <f>L_CViec!#REF!</f>
        <v>#REF!</v>
      </c>
      <c r="I306" s="735" t="e">
        <f>SUM(I308,I310,I311,I313,I316,I319,I321,I322,I324,I326,I327,I330,I331,I337,I338)</f>
        <v>#REF!</v>
      </c>
      <c r="J306" s="735" t="e">
        <f>SUM(J308,J310,J311,J313,J316,J319,J321,J322,J324,J326,J327,J330,J331,J337,J338)</f>
        <v>#REF!</v>
      </c>
      <c r="K306" s="736" t="e">
        <f>SUM(K308,K310,K311,K313,K316,K319,K321,K322,K324,K326,K327,K330,K331,K337,K338)</f>
        <v>#REF!</v>
      </c>
    </row>
    <row r="307" spans="1:11" s="761" customFormat="1" ht="15">
      <c r="A307" s="756" t="e">
        <f>L_CViec!#REF!</f>
        <v>#REF!</v>
      </c>
      <c r="B307" s="757" t="e">
        <f>L_CViec!#REF!</f>
        <v>#REF!</v>
      </c>
      <c r="C307" s="758" t="e">
        <f>L_CViec!#REF!</f>
        <v>#REF!</v>
      </c>
      <c r="D307" s="758" t="e">
        <f>L_CViec!#REF!</f>
        <v>#REF!</v>
      </c>
      <c r="E307" s="758" t="e">
        <f>L_CViec!#REF!</f>
        <v>#REF!</v>
      </c>
      <c r="F307" s="758" t="e">
        <f>L_CViec!#REF!</f>
        <v>#REF!</v>
      </c>
      <c r="G307" s="758" t="e">
        <f>L_CViec!#REF!</f>
        <v>#REF!</v>
      </c>
      <c r="H307" s="759"/>
      <c r="I307" s="759"/>
      <c r="J307" s="759"/>
      <c r="K307" s="760"/>
    </row>
    <row r="308" spans="1:11" s="767" customFormat="1" ht="15">
      <c r="A308" s="762" t="e">
        <f>L_CViec!#REF!</f>
        <v>#REF!</v>
      </c>
      <c r="B308" s="763" t="e">
        <f>L_CViec!#REF!</f>
        <v>#REF!</v>
      </c>
      <c r="C308" s="764" t="e">
        <f>L_CViec!#REF!</f>
        <v>#REF!</v>
      </c>
      <c r="D308" s="764" t="e">
        <f>L_CViec!#REF!</f>
        <v>#REF!</v>
      </c>
      <c r="E308" s="764" t="e">
        <f>L_CViec!#REF!</f>
        <v>#REF!</v>
      </c>
      <c r="F308" s="764" t="e">
        <f>L_CViec!#REF!</f>
        <v>#REF!</v>
      </c>
      <c r="G308" s="764" t="e">
        <f>L_CViec!#REF!</f>
        <v>#REF!</v>
      </c>
      <c r="H308" s="765" t="e">
        <f>L_CViec!#REF!</f>
        <v>#REF!</v>
      </c>
      <c r="I308" s="765" t="e">
        <f>G308*H308*L_CBac!$G$68</f>
        <v>#REF!</v>
      </c>
      <c r="J308" s="765" t="e">
        <f>$D308*G308*L_CBac!$J$68</f>
        <v>#REF!</v>
      </c>
      <c r="K308" s="766" t="e">
        <f>$D308*$G308*L_CBac!$J$69</f>
        <v>#REF!</v>
      </c>
    </row>
    <row r="309" spans="1:11" s="767" customFormat="1" ht="15">
      <c r="A309" s="762" t="e">
        <f>L_CViec!#REF!</f>
        <v>#REF!</v>
      </c>
      <c r="B309" s="763" t="e">
        <f>L_CViec!#REF!</f>
        <v>#REF!</v>
      </c>
      <c r="C309" s="764" t="e">
        <f>L_CViec!#REF!</f>
        <v>#REF!</v>
      </c>
      <c r="D309" s="764" t="e">
        <f>L_CViec!#REF!</f>
        <v>#REF!</v>
      </c>
      <c r="E309" s="764" t="e">
        <f>L_CViec!#REF!</f>
        <v>#REF!</v>
      </c>
      <c r="F309" s="764" t="e">
        <f>L_CViec!#REF!</f>
        <v>#REF!</v>
      </c>
      <c r="G309" s="764" t="e">
        <f>L_CViec!#REF!</f>
        <v>#REF!</v>
      </c>
      <c r="H309" s="765" t="e">
        <f>L_CViec!#REF!</f>
        <v>#REF!</v>
      </c>
      <c r="I309" s="765" t="e">
        <f>G309*H309*L_CBac!$G$68</f>
        <v>#REF!</v>
      </c>
      <c r="J309" s="765" t="e">
        <f>$D309*G309*L_CBac!$J$68</f>
        <v>#REF!</v>
      </c>
      <c r="K309" s="766" t="e">
        <f>$D309*$G309*L_CBac!$J$69</f>
        <v>#REF!</v>
      </c>
    </row>
    <row r="310" spans="1:11" s="761" customFormat="1" ht="15">
      <c r="A310" s="756" t="e">
        <f>L_CViec!#REF!</f>
        <v>#REF!</v>
      </c>
      <c r="B310" s="757" t="e">
        <f>L_CViec!#REF!</f>
        <v>#REF!</v>
      </c>
      <c r="C310" s="758" t="e">
        <f>L_CViec!#REF!</f>
        <v>#REF!</v>
      </c>
      <c r="D310" s="758" t="e">
        <f>L_CViec!#REF!</f>
        <v>#REF!</v>
      </c>
      <c r="E310" s="758" t="e">
        <f>L_CViec!#REF!</f>
        <v>#REF!</v>
      </c>
      <c r="F310" s="758" t="e">
        <f>L_CViec!#REF!</f>
        <v>#REF!</v>
      </c>
      <c r="G310" s="758" t="e">
        <f>L_CViec!#REF!</f>
        <v>#REF!</v>
      </c>
      <c r="H310" s="759" t="e">
        <f>L_CViec!#REF!</f>
        <v>#REF!</v>
      </c>
      <c r="I310" s="759" t="e">
        <f>G310*H310*L_CBac!$G$68</f>
        <v>#REF!</v>
      </c>
      <c r="J310" s="759" t="e">
        <f>$D310*G310*L_CBac!$J$68</f>
        <v>#REF!</v>
      </c>
      <c r="K310" s="760" t="e">
        <f>$D310*$G310*L_CBac!$J$69</f>
        <v>#REF!</v>
      </c>
    </row>
    <row r="311" spans="1:11" s="761" customFormat="1" ht="15">
      <c r="A311" s="756" t="e">
        <f>L_CViec!#REF!</f>
        <v>#REF!</v>
      </c>
      <c r="B311" s="757" t="e">
        <f>L_CViec!#REF!</f>
        <v>#REF!</v>
      </c>
      <c r="C311" s="758" t="e">
        <f>L_CViec!#REF!</f>
        <v>#REF!</v>
      </c>
      <c r="D311" s="758" t="e">
        <f>L_CViec!#REF!</f>
        <v>#REF!</v>
      </c>
      <c r="E311" s="758" t="e">
        <f>L_CViec!#REF!</f>
        <v>#REF!</v>
      </c>
      <c r="F311" s="758" t="e">
        <f>L_CViec!#REF!</f>
        <v>#REF!</v>
      </c>
      <c r="G311" s="758" t="e">
        <f>L_CViec!#REF!</f>
        <v>#REF!</v>
      </c>
      <c r="H311" s="759" t="e">
        <f>L_CViec!#REF!</f>
        <v>#REF!</v>
      </c>
      <c r="I311" s="759" t="e">
        <f>G311*H311*L_CBac!$G$68</f>
        <v>#REF!</v>
      </c>
      <c r="J311" s="759" t="e">
        <f>$D311*G311*L_CBac!$J$68</f>
        <v>#REF!</v>
      </c>
      <c r="K311" s="760" t="e">
        <f>$D311*$G311*L_CBac!$J$69</f>
        <v>#REF!</v>
      </c>
    </row>
    <row r="312" spans="1:11" s="777" customFormat="1" ht="15">
      <c r="A312" s="771" t="e">
        <f>L_CViec!#REF!</f>
        <v>#REF!</v>
      </c>
      <c r="B312" s="772" t="e">
        <f>L_CViec!#REF!</f>
        <v>#REF!</v>
      </c>
      <c r="C312" s="773" t="e">
        <f>L_CViec!#REF!</f>
        <v>#REF!</v>
      </c>
      <c r="D312" s="773" t="e">
        <f>L_CViec!#REF!</f>
        <v>#REF!</v>
      </c>
      <c r="E312" s="773" t="e">
        <f>L_CViec!#REF!</f>
        <v>#REF!</v>
      </c>
      <c r="F312" s="773" t="e">
        <f>L_CViec!#REF!</f>
        <v>#REF!</v>
      </c>
      <c r="G312" s="773" t="e">
        <f>L_CViec!#REF!</f>
        <v>#REF!</v>
      </c>
      <c r="H312" s="775"/>
      <c r="I312" s="775"/>
      <c r="J312" s="775"/>
      <c r="K312" s="776"/>
    </row>
    <row r="313" spans="1:11" s="784" customFormat="1" ht="15">
      <c r="A313" s="778" t="e">
        <f>L_CViec!#REF!</f>
        <v>#REF!</v>
      </c>
      <c r="B313" s="779" t="e">
        <f>L_CViec!#REF!</f>
        <v>#REF!</v>
      </c>
      <c r="C313" s="780" t="e">
        <f>L_CViec!#REF!</f>
        <v>#REF!</v>
      </c>
      <c r="D313" s="780" t="e">
        <f>L_CViec!#REF!</f>
        <v>#REF!</v>
      </c>
      <c r="E313" s="780" t="e">
        <f>L_CViec!#REF!</f>
        <v>#REF!</v>
      </c>
      <c r="F313" s="780" t="e">
        <f>L_CViec!#REF!</f>
        <v>#REF!</v>
      </c>
      <c r="G313" s="780" t="e">
        <f>L_CViec!#REF!</f>
        <v>#REF!</v>
      </c>
      <c r="H313" s="782" t="e">
        <f>L_CViec!#REF!</f>
        <v>#REF!</v>
      </c>
      <c r="I313" s="782" t="e">
        <f>G313*H313*L_CBac!$G$68</f>
        <v>#REF!</v>
      </c>
      <c r="J313" s="782" t="e">
        <f>$D313*G313*L_CBac!$J$68</f>
        <v>#REF!</v>
      </c>
      <c r="K313" s="783" t="e">
        <f>$D313*$G313*L_CBac!$J$69</f>
        <v>#REF!</v>
      </c>
    </row>
    <row r="314" spans="1:11" s="784" customFormat="1" ht="15">
      <c r="A314" s="778" t="e">
        <f>L_CViec!#REF!</f>
        <v>#REF!</v>
      </c>
      <c r="B314" s="779" t="e">
        <f>L_CViec!#REF!</f>
        <v>#REF!</v>
      </c>
      <c r="C314" s="780" t="e">
        <f>L_CViec!#REF!</f>
        <v>#REF!</v>
      </c>
      <c r="D314" s="780" t="e">
        <f>L_CViec!#REF!</f>
        <v>#REF!</v>
      </c>
      <c r="E314" s="780" t="e">
        <f>L_CViec!#REF!</f>
        <v>#REF!</v>
      </c>
      <c r="F314" s="780" t="e">
        <f>L_CViec!#REF!</f>
        <v>#REF!</v>
      </c>
      <c r="G314" s="780" t="e">
        <f>L_CViec!#REF!</f>
        <v>#REF!</v>
      </c>
      <c r="H314" s="782" t="e">
        <f>L_CViec!#REF!</f>
        <v>#REF!</v>
      </c>
      <c r="I314" s="782" t="e">
        <f>G314*H314*L_CBac!$G$68</f>
        <v>#REF!</v>
      </c>
      <c r="J314" s="782" t="e">
        <f>$D314*G314*L_CBac!$J$68</f>
        <v>#REF!</v>
      </c>
      <c r="K314" s="783" t="e">
        <f>$D314*$G314*L_CBac!$J$69</f>
        <v>#REF!</v>
      </c>
    </row>
    <row r="315" spans="1:11" s="761" customFormat="1" ht="15">
      <c r="A315" s="756" t="e">
        <f>L_CViec!#REF!</f>
        <v>#REF!</v>
      </c>
      <c r="B315" s="757" t="e">
        <f>L_CViec!#REF!</f>
        <v>#REF!</v>
      </c>
      <c r="C315" s="758" t="e">
        <f>L_CViec!#REF!</f>
        <v>#REF!</v>
      </c>
      <c r="D315" s="758" t="e">
        <f>L_CViec!#REF!</f>
        <v>#REF!</v>
      </c>
      <c r="E315" s="758" t="e">
        <f>L_CViec!#REF!</f>
        <v>#REF!</v>
      </c>
      <c r="F315" s="758" t="e">
        <f>L_CViec!#REF!</f>
        <v>#REF!</v>
      </c>
      <c r="G315" s="758" t="e">
        <f>L_CViec!#REF!</f>
        <v>#REF!</v>
      </c>
      <c r="H315" s="759"/>
      <c r="I315" s="759"/>
      <c r="J315" s="759"/>
      <c r="K315" s="760"/>
    </row>
    <row r="316" spans="1:11" s="767" customFormat="1" ht="15">
      <c r="A316" s="762" t="e">
        <f>L_CViec!#REF!</f>
        <v>#REF!</v>
      </c>
      <c r="B316" s="763" t="e">
        <f>L_CViec!#REF!</f>
        <v>#REF!</v>
      </c>
      <c r="C316" s="764" t="e">
        <f>L_CViec!#REF!</f>
        <v>#REF!</v>
      </c>
      <c r="D316" s="764" t="e">
        <f>L_CViec!#REF!</f>
        <v>#REF!</v>
      </c>
      <c r="E316" s="764" t="e">
        <f>L_CViec!#REF!</f>
        <v>#REF!</v>
      </c>
      <c r="F316" s="764" t="e">
        <f>L_CViec!#REF!</f>
        <v>#REF!</v>
      </c>
      <c r="G316" s="764" t="e">
        <f>L_CViec!#REF!</f>
        <v>#REF!</v>
      </c>
      <c r="H316" s="765" t="e">
        <f>L_CViec!#REF!</f>
        <v>#REF!</v>
      </c>
      <c r="I316" s="765" t="e">
        <f>G316*H316*L_CBac!$G$68</f>
        <v>#REF!</v>
      </c>
      <c r="J316" s="765" t="e">
        <f>$D316*G316*L_CBac!$J$68</f>
        <v>#REF!</v>
      </c>
      <c r="K316" s="766" t="e">
        <f>$D316*$G316*L_CBac!$J$69</f>
        <v>#REF!</v>
      </c>
    </row>
    <row r="317" spans="1:11" s="767" customFormat="1" ht="15">
      <c r="A317" s="762" t="e">
        <f>L_CViec!#REF!</f>
        <v>#REF!</v>
      </c>
      <c r="B317" s="763" t="e">
        <f>L_CViec!#REF!</f>
        <v>#REF!</v>
      </c>
      <c r="C317" s="764" t="e">
        <f>L_CViec!#REF!</f>
        <v>#REF!</v>
      </c>
      <c r="D317" s="764" t="e">
        <f>L_CViec!#REF!</f>
        <v>#REF!</v>
      </c>
      <c r="E317" s="764" t="e">
        <f>L_CViec!#REF!</f>
        <v>#REF!</v>
      </c>
      <c r="F317" s="764" t="e">
        <f>L_CViec!#REF!</f>
        <v>#REF!</v>
      </c>
      <c r="G317" s="764" t="e">
        <f>L_CViec!#REF!</f>
        <v>#REF!</v>
      </c>
      <c r="H317" s="765" t="e">
        <f>L_CViec!#REF!</f>
        <v>#REF!</v>
      </c>
      <c r="I317" s="765" t="e">
        <f>G317*H317*L_CBac!$G$68</f>
        <v>#REF!</v>
      </c>
      <c r="J317" s="765" t="e">
        <f>$D317*G317*L_CBac!$J$68</f>
        <v>#REF!</v>
      </c>
      <c r="K317" s="766" t="e">
        <f>$D317*$G317*L_CBac!$J$69</f>
        <v>#REF!</v>
      </c>
    </row>
    <row r="318" spans="1:11" s="761" customFormat="1" ht="15">
      <c r="A318" s="756" t="e">
        <f>L_CViec!#REF!</f>
        <v>#REF!</v>
      </c>
      <c r="B318" s="757" t="e">
        <f>L_CViec!#REF!</f>
        <v>#REF!</v>
      </c>
      <c r="C318" s="758" t="e">
        <f>L_CViec!#REF!</f>
        <v>#REF!</v>
      </c>
      <c r="D318" s="758" t="e">
        <f>L_CViec!#REF!</f>
        <v>#REF!</v>
      </c>
      <c r="E318" s="758" t="e">
        <f>L_CViec!#REF!</f>
        <v>#REF!</v>
      </c>
      <c r="F318" s="758" t="e">
        <f>L_CViec!#REF!</f>
        <v>#REF!</v>
      </c>
      <c r="G318" s="758" t="e">
        <f>L_CViec!#REF!</f>
        <v>#REF!</v>
      </c>
      <c r="H318" s="759" t="e">
        <f>L_CViec!#REF!</f>
        <v>#REF!</v>
      </c>
      <c r="I318" s="759"/>
      <c r="J318" s="759"/>
      <c r="K318" s="760"/>
    </row>
    <row r="319" spans="1:11" s="767" customFormat="1" ht="15">
      <c r="A319" s="762" t="e">
        <f>L_CViec!#REF!</f>
        <v>#REF!</v>
      </c>
      <c r="B319" s="763" t="e">
        <f>L_CViec!#REF!</f>
        <v>#REF!</v>
      </c>
      <c r="C319" s="764" t="e">
        <f>L_CViec!#REF!</f>
        <v>#REF!</v>
      </c>
      <c r="D319" s="764" t="e">
        <f>L_CViec!#REF!</f>
        <v>#REF!</v>
      </c>
      <c r="E319" s="764" t="e">
        <f>L_CViec!#REF!</f>
        <v>#REF!</v>
      </c>
      <c r="F319" s="764" t="e">
        <f>L_CViec!#REF!</f>
        <v>#REF!</v>
      </c>
      <c r="G319" s="764" t="e">
        <f>L_CViec!#REF!</f>
        <v>#REF!</v>
      </c>
      <c r="H319" s="765" t="e">
        <f>L_CViec!#REF!</f>
        <v>#REF!</v>
      </c>
      <c r="I319" s="765" t="e">
        <f>G319*H319*L_CBac!$G$68</f>
        <v>#REF!</v>
      </c>
      <c r="J319" s="765" t="e">
        <f>$D319*G319*L_CBac!$J$68</f>
        <v>#REF!</v>
      </c>
      <c r="K319" s="766" t="e">
        <f>$D319*$G319*L_CBac!$J$69</f>
        <v>#REF!</v>
      </c>
    </row>
    <row r="320" spans="1:11" s="767" customFormat="1" ht="15">
      <c r="A320" s="762" t="e">
        <f>L_CViec!#REF!</f>
        <v>#REF!</v>
      </c>
      <c r="B320" s="763" t="e">
        <f>L_CViec!#REF!</f>
        <v>#REF!</v>
      </c>
      <c r="C320" s="764" t="e">
        <f>L_CViec!#REF!</f>
        <v>#REF!</v>
      </c>
      <c r="D320" s="764" t="e">
        <f>L_CViec!#REF!</f>
        <v>#REF!</v>
      </c>
      <c r="E320" s="764" t="e">
        <f>L_CViec!#REF!</f>
        <v>#REF!</v>
      </c>
      <c r="F320" s="764" t="e">
        <f>L_CViec!#REF!</f>
        <v>#REF!</v>
      </c>
      <c r="G320" s="764" t="e">
        <f>L_CViec!#REF!</f>
        <v>#REF!</v>
      </c>
      <c r="H320" s="765" t="e">
        <f>L_CViec!#REF!</f>
        <v>#REF!</v>
      </c>
      <c r="I320" s="765" t="e">
        <f>G320*H320*L_CBac!$G$68</f>
        <v>#REF!</v>
      </c>
      <c r="J320" s="765" t="e">
        <f>$D320*G320*L_CBac!$J$68</f>
        <v>#REF!</v>
      </c>
      <c r="K320" s="766" t="e">
        <f>$D320*$G320*L_CBac!$J$69</f>
        <v>#REF!</v>
      </c>
    </row>
    <row r="321" spans="1:11" s="761" customFormat="1" ht="15">
      <c r="A321" s="756" t="e">
        <f>L_CViec!#REF!</f>
        <v>#REF!</v>
      </c>
      <c r="B321" s="757" t="e">
        <f>L_CViec!#REF!</f>
        <v>#REF!</v>
      </c>
      <c r="C321" s="758" t="e">
        <f>L_CViec!#REF!</f>
        <v>#REF!</v>
      </c>
      <c r="D321" s="758" t="e">
        <f>L_CViec!#REF!</f>
        <v>#REF!</v>
      </c>
      <c r="E321" s="758" t="e">
        <f>L_CViec!#REF!</f>
        <v>#REF!</v>
      </c>
      <c r="F321" s="758" t="e">
        <f>L_CViec!#REF!</f>
        <v>#REF!</v>
      </c>
      <c r="G321" s="758" t="e">
        <f>L_CViec!#REF!</f>
        <v>#REF!</v>
      </c>
      <c r="H321" s="759" t="e">
        <f>L_CViec!#REF!</f>
        <v>#REF!</v>
      </c>
      <c r="I321" s="759" t="e">
        <f>G321*H321*L_CBac!$G$68</f>
        <v>#REF!</v>
      </c>
      <c r="J321" s="759" t="e">
        <f>$D321*G321*L_CBac!$J$68</f>
        <v>#REF!</v>
      </c>
      <c r="K321" s="760" t="e">
        <f>$D321*$G321*L_CBac!$J$69</f>
        <v>#REF!</v>
      </c>
    </row>
    <row r="322" spans="1:11" s="777" customFormat="1" ht="15">
      <c r="A322" s="771" t="e">
        <f>L_CViec!#REF!</f>
        <v>#REF!</v>
      </c>
      <c r="B322" s="772" t="e">
        <f>L_CViec!#REF!</f>
        <v>#REF!</v>
      </c>
      <c r="C322" s="773" t="e">
        <f>L_CViec!#REF!</f>
        <v>#REF!</v>
      </c>
      <c r="D322" s="773" t="e">
        <f>L_CViec!#REF!</f>
        <v>#REF!</v>
      </c>
      <c r="E322" s="773" t="e">
        <f>L_CViec!#REF!</f>
        <v>#REF!</v>
      </c>
      <c r="F322" s="773" t="e">
        <f>L_CViec!#REF!</f>
        <v>#REF!</v>
      </c>
      <c r="G322" s="773" t="e">
        <f>L_CViec!#REF!</f>
        <v>#REF!</v>
      </c>
      <c r="H322" s="775" t="e">
        <f>L_CViec!#REF!</f>
        <v>#REF!</v>
      </c>
      <c r="I322" s="775" t="e">
        <f>G322*H322*L_CBac!$G$68</f>
        <v>#REF!</v>
      </c>
      <c r="J322" s="775" t="e">
        <f>$D322*G322*L_CBac!$J$68</f>
        <v>#REF!</v>
      </c>
      <c r="K322" s="776" t="e">
        <f>$D322*$G322*L_CBac!$J$69</f>
        <v>#REF!</v>
      </c>
    </row>
    <row r="323" spans="1:11" s="761" customFormat="1" ht="15">
      <c r="A323" s="756" t="e">
        <f>L_CViec!#REF!</f>
        <v>#REF!</v>
      </c>
      <c r="B323" s="757" t="e">
        <f>L_CViec!#REF!</f>
        <v>#REF!</v>
      </c>
      <c r="C323" s="758" t="e">
        <f>L_CViec!#REF!</f>
        <v>#REF!</v>
      </c>
      <c r="D323" s="758" t="e">
        <f>L_CViec!#REF!</f>
        <v>#REF!</v>
      </c>
      <c r="E323" s="758" t="e">
        <f>L_CViec!#REF!</f>
        <v>#REF!</v>
      </c>
      <c r="F323" s="758" t="e">
        <f>L_CViec!#REF!</f>
        <v>#REF!</v>
      </c>
      <c r="G323" s="758" t="e">
        <f>L_CViec!#REF!</f>
        <v>#REF!</v>
      </c>
      <c r="H323" s="759" t="e">
        <f>L_CViec!#REF!</f>
        <v>#REF!</v>
      </c>
      <c r="I323" s="759"/>
      <c r="J323" s="759"/>
      <c r="K323" s="760"/>
    </row>
    <row r="324" spans="1:11" s="767" customFormat="1" ht="15">
      <c r="A324" s="762" t="e">
        <f>L_CViec!#REF!</f>
        <v>#REF!</v>
      </c>
      <c r="B324" s="763" t="e">
        <f>L_CViec!#REF!</f>
        <v>#REF!</v>
      </c>
      <c r="C324" s="764" t="e">
        <f>L_CViec!#REF!</f>
        <v>#REF!</v>
      </c>
      <c r="D324" s="764" t="e">
        <f>L_CViec!#REF!</f>
        <v>#REF!</v>
      </c>
      <c r="E324" s="764" t="e">
        <f>L_CViec!#REF!</f>
        <v>#REF!</v>
      </c>
      <c r="F324" s="764" t="e">
        <f>L_CViec!#REF!</f>
        <v>#REF!</v>
      </c>
      <c r="G324" s="764" t="e">
        <f>L_CViec!#REF!</f>
        <v>#REF!</v>
      </c>
      <c r="H324" s="765" t="e">
        <f>L_CViec!#REF!</f>
        <v>#REF!</v>
      </c>
      <c r="I324" s="765" t="e">
        <f>G324*H324*L_CBac!$G$68</f>
        <v>#REF!</v>
      </c>
      <c r="J324" s="765" t="e">
        <f>$D324*G324*L_CBac!$J$68</f>
        <v>#REF!</v>
      </c>
      <c r="K324" s="766" t="e">
        <f>$D324*$G324*L_CBac!$J$69</f>
        <v>#REF!</v>
      </c>
    </row>
    <row r="325" spans="1:11" s="767" customFormat="1" ht="15">
      <c r="A325" s="762" t="e">
        <f>L_CViec!#REF!</f>
        <v>#REF!</v>
      </c>
      <c r="B325" s="763" t="e">
        <f>L_CViec!#REF!</f>
        <v>#REF!</v>
      </c>
      <c r="C325" s="764" t="e">
        <f>L_CViec!#REF!</f>
        <v>#REF!</v>
      </c>
      <c r="D325" s="764" t="e">
        <f>L_CViec!#REF!</f>
        <v>#REF!</v>
      </c>
      <c r="E325" s="764" t="e">
        <f>L_CViec!#REF!</f>
        <v>#REF!</v>
      </c>
      <c r="F325" s="764" t="e">
        <f>L_CViec!#REF!</f>
        <v>#REF!</v>
      </c>
      <c r="G325" s="764" t="e">
        <f>L_CViec!#REF!</f>
        <v>#REF!</v>
      </c>
      <c r="H325" s="765" t="e">
        <f>L_CViec!#REF!</f>
        <v>#REF!</v>
      </c>
      <c r="I325" s="765" t="e">
        <f>G325*H325*L_CBac!$G$68</f>
        <v>#REF!</v>
      </c>
      <c r="J325" s="765" t="e">
        <f>$D325*G325*L_CBac!$J$68</f>
        <v>#REF!</v>
      </c>
      <c r="K325" s="766" t="e">
        <f>$D325*$G325*L_CBac!$J$69</f>
        <v>#REF!</v>
      </c>
    </row>
    <row r="326" spans="1:11" s="761" customFormat="1" ht="15">
      <c r="A326" s="756" t="e">
        <f>L_CViec!#REF!</f>
        <v>#REF!</v>
      </c>
      <c r="B326" s="757" t="e">
        <f>L_CViec!#REF!</f>
        <v>#REF!</v>
      </c>
      <c r="C326" s="758" t="e">
        <f>L_CViec!#REF!</f>
        <v>#REF!</v>
      </c>
      <c r="D326" s="758" t="e">
        <f>L_CViec!#REF!</f>
        <v>#REF!</v>
      </c>
      <c r="E326" s="758" t="e">
        <f>L_CViec!#REF!</f>
        <v>#REF!</v>
      </c>
      <c r="F326" s="758" t="e">
        <f>L_CViec!#REF!</f>
        <v>#REF!</v>
      </c>
      <c r="G326" s="758" t="e">
        <f>L_CViec!#REF!</f>
        <v>#REF!</v>
      </c>
      <c r="H326" s="759" t="e">
        <f>L_CViec!#REF!</f>
        <v>#REF!</v>
      </c>
      <c r="I326" s="759" t="e">
        <f>G326*H326*L_CBac!$G$68</f>
        <v>#REF!</v>
      </c>
      <c r="J326" s="759" t="e">
        <f>$D326*G326*L_CBac!$J$68</f>
        <v>#REF!</v>
      </c>
      <c r="K326" s="760" t="e">
        <f>$D326*$G326*L_CBac!$J$69</f>
        <v>#REF!</v>
      </c>
    </row>
    <row r="327" spans="1:11" s="761" customFormat="1" ht="15">
      <c r="A327" s="756" t="e">
        <f>L_CViec!#REF!</f>
        <v>#REF!</v>
      </c>
      <c r="B327" s="757" t="e">
        <f>L_CViec!#REF!</f>
        <v>#REF!</v>
      </c>
      <c r="C327" s="758" t="e">
        <f>L_CViec!#REF!</f>
        <v>#REF!</v>
      </c>
      <c r="D327" s="758" t="e">
        <f>L_CViec!#REF!</f>
        <v>#REF!</v>
      </c>
      <c r="E327" s="758" t="e">
        <f>L_CViec!#REF!</f>
        <v>#REF!</v>
      </c>
      <c r="F327" s="758" t="e">
        <f>L_CViec!#REF!</f>
        <v>#REF!</v>
      </c>
      <c r="G327" s="758" t="e">
        <f>L_CViec!#REF!</f>
        <v>#REF!</v>
      </c>
      <c r="H327" s="759" t="e">
        <f>L_CViec!#REF!</f>
        <v>#REF!</v>
      </c>
      <c r="I327" s="759" t="e">
        <f>SUM(I328:I329)</f>
        <v>#REF!</v>
      </c>
      <c r="J327" s="759" t="e">
        <f>SUM(J328:J329)</f>
        <v>#REF!</v>
      </c>
      <c r="K327" s="760" t="e">
        <f>SUM(K328:K329)</f>
        <v>#REF!</v>
      </c>
    </row>
    <row r="328" spans="1:11" s="767" customFormat="1" ht="15">
      <c r="A328" s="762" t="e">
        <f>L_CViec!#REF!</f>
        <v>#REF!</v>
      </c>
      <c r="B328" s="763" t="e">
        <f>L_CViec!#REF!</f>
        <v>#REF!</v>
      </c>
      <c r="C328" s="764" t="e">
        <f>L_CViec!#REF!</f>
        <v>#REF!</v>
      </c>
      <c r="D328" s="764" t="e">
        <f>L_CViec!#REF!</f>
        <v>#REF!</v>
      </c>
      <c r="E328" s="764" t="e">
        <f>L_CViec!#REF!</f>
        <v>#REF!</v>
      </c>
      <c r="F328" s="764" t="e">
        <f>L_CViec!#REF!</f>
        <v>#REF!</v>
      </c>
      <c r="G328" s="764" t="e">
        <f>L_CViec!#REF!</f>
        <v>#REF!</v>
      </c>
      <c r="H328" s="765" t="e">
        <f>L_CViec!#REF!</f>
        <v>#REF!</v>
      </c>
      <c r="I328" s="765" t="e">
        <f>G328*H328*L_CBac!$G$68</f>
        <v>#REF!</v>
      </c>
      <c r="J328" s="765" t="e">
        <f>$D328*G328*L_CBac!$J$68</f>
        <v>#REF!</v>
      </c>
      <c r="K328" s="766" t="e">
        <f>$D328*$G328*L_CBac!$J$69</f>
        <v>#REF!</v>
      </c>
    </row>
    <row r="329" spans="1:11" s="767" customFormat="1" ht="15">
      <c r="A329" s="762" t="e">
        <f>L_CViec!#REF!</f>
        <v>#REF!</v>
      </c>
      <c r="B329" s="763" t="e">
        <f>L_CViec!#REF!</f>
        <v>#REF!</v>
      </c>
      <c r="C329" s="764" t="e">
        <f>L_CViec!#REF!</f>
        <v>#REF!</v>
      </c>
      <c r="D329" s="764" t="e">
        <f>L_CViec!#REF!</f>
        <v>#REF!</v>
      </c>
      <c r="E329" s="764" t="e">
        <f>L_CViec!#REF!</f>
        <v>#REF!</v>
      </c>
      <c r="F329" s="764" t="e">
        <f>L_CViec!#REF!</f>
        <v>#REF!</v>
      </c>
      <c r="G329" s="764" t="e">
        <f>L_CViec!#REF!</f>
        <v>#REF!</v>
      </c>
      <c r="H329" s="765" t="e">
        <f>L_CViec!#REF!</f>
        <v>#REF!</v>
      </c>
      <c r="I329" s="765" t="e">
        <f>G329*H329*L_CBac!$G$68</f>
        <v>#REF!</v>
      </c>
      <c r="J329" s="765" t="e">
        <f>$D329*G329*L_CBac!$J$68</f>
        <v>#REF!</v>
      </c>
      <c r="K329" s="766" t="e">
        <f>$D329*$G329*L_CBac!$J$69</f>
        <v>#REF!</v>
      </c>
    </row>
    <row r="330" spans="1:11" s="761" customFormat="1" ht="15">
      <c r="A330" s="756" t="e">
        <f>L_CViec!#REF!</f>
        <v>#REF!</v>
      </c>
      <c r="B330" s="757" t="e">
        <f>L_CViec!#REF!</f>
        <v>#REF!</v>
      </c>
      <c r="C330" s="758" t="e">
        <f>L_CViec!#REF!</f>
        <v>#REF!</v>
      </c>
      <c r="D330" s="758" t="e">
        <f>L_CViec!#REF!</f>
        <v>#REF!</v>
      </c>
      <c r="E330" s="758" t="e">
        <f>L_CViec!#REF!</f>
        <v>#REF!</v>
      </c>
      <c r="F330" s="758" t="e">
        <f>L_CViec!#REF!</f>
        <v>#REF!</v>
      </c>
      <c r="G330" s="758" t="e">
        <f>L_CViec!#REF!</f>
        <v>#REF!</v>
      </c>
      <c r="H330" s="759" t="e">
        <f>L_CViec!#REF!</f>
        <v>#REF!</v>
      </c>
      <c r="I330" s="759" t="e">
        <f>G330*H330*L_CBac!$G$68</f>
        <v>#REF!</v>
      </c>
      <c r="J330" s="759" t="e">
        <f>$D330*G330*L_CBac!$J$68</f>
        <v>#REF!</v>
      </c>
      <c r="K330" s="760" t="e">
        <f>$D330*$G330*L_CBac!$J$69</f>
        <v>#REF!</v>
      </c>
    </row>
    <row r="331" spans="1:11" s="761" customFormat="1" ht="15">
      <c r="A331" s="756" t="e">
        <f>L_CViec!#REF!</f>
        <v>#REF!</v>
      </c>
      <c r="B331" s="757" t="e">
        <f>L_CViec!#REF!</f>
        <v>#REF!</v>
      </c>
      <c r="C331" s="758" t="e">
        <f>L_CViec!#REF!</f>
        <v>#REF!</v>
      </c>
      <c r="D331" s="758" t="e">
        <f>L_CViec!#REF!</f>
        <v>#REF!</v>
      </c>
      <c r="E331" s="758" t="e">
        <f>L_CViec!#REF!</f>
        <v>#REF!</v>
      </c>
      <c r="F331" s="758" t="e">
        <f>L_CViec!#REF!</f>
        <v>#REF!</v>
      </c>
      <c r="G331" s="758" t="e">
        <f>L_CViec!#REF!</f>
        <v>#REF!</v>
      </c>
      <c r="H331" s="759" t="e">
        <f>L_CViec!#REF!</f>
        <v>#REF!</v>
      </c>
      <c r="I331" s="759" t="e">
        <f t="shared" ref="I331:K332" si="4">SUM(I332:I333)</f>
        <v>#REF!</v>
      </c>
      <c r="J331" s="759" t="e">
        <f t="shared" si="4"/>
        <v>#REF!</v>
      </c>
      <c r="K331" s="760" t="e">
        <f t="shared" si="4"/>
        <v>#REF!</v>
      </c>
    </row>
    <row r="332" spans="1:11" s="767" customFormat="1" ht="15">
      <c r="A332" s="762" t="e">
        <f>L_CViec!#REF!</f>
        <v>#REF!</v>
      </c>
      <c r="B332" s="763" t="e">
        <f>L_CViec!#REF!</f>
        <v>#REF!</v>
      </c>
      <c r="C332" s="764" t="e">
        <f>L_CViec!#REF!</f>
        <v>#REF!</v>
      </c>
      <c r="D332" s="764" t="e">
        <f>L_CViec!#REF!</f>
        <v>#REF!</v>
      </c>
      <c r="E332" s="764" t="e">
        <f>L_CViec!#REF!</f>
        <v>#REF!</v>
      </c>
      <c r="F332" s="764" t="e">
        <f>L_CViec!#REF!</f>
        <v>#REF!</v>
      </c>
      <c r="G332" s="764" t="e">
        <f>L_CViec!#REF!</f>
        <v>#REF!</v>
      </c>
      <c r="H332" s="765" t="e">
        <f>L_CViec!#REF!</f>
        <v>#REF!</v>
      </c>
      <c r="I332" s="765" t="e">
        <f t="shared" si="4"/>
        <v>#REF!</v>
      </c>
      <c r="J332" s="765" t="e">
        <f t="shared" si="4"/>
        <v>#REF!</v>
      </c>
      <c r="K332" s="766" t="e">
        <f t="shared" si="4"/>
        <v>#REF!</v>
      </c>
    </row>
    <row r="333" spans="1:11" s="767" customFormat="1" ht="15">
      <c r="A333" s="762" t="e">
        <f>L_CViec!#REF!</f>
        <v>#REF!</v>
      </c>
      <c r="B333" s="763" t="e">
        <f>L_CViec!#REF!</f>
        <v>#REF!</v>
      </c>
      <c r="C333" s="764" t="e">
        <f>L_CViec!#REF!</f>
        <v>#REF!</v>
      </c>
      <c r="D333" s="764" t="e">
        <f>L_CViec!#REF!</f>
        <v>#REF!</v>
      </c>
      <c r="E333" s="764" t="e">
        <f>L_CViec!#REF!</f>
        <v>#REF!</v>
      </c>
      <c r="F333" s="764" t="e">
        <f>L_CViec!#REF!</f>
        <v>#REF!</v>
      </c>
      <c r="G333" s="764" t="e">
        <f>L_CViec!#REF!</f>
        <v>#REF!</v>
      </c>
      <c r="H333" s="765" t="e">
        <f>L_CViec!#REF!</f>
        <v>#REF!</v>
      </c>
      <c r="I333" s="765" t="e">
        <f>G333*H333*L_CBac!$G$68*2</f>
        <v>#REF!</v>
      </c>
      <c r="J333" s="765" t="e">
        <f>$D333*G333*L_CBac!$J$68</f>
        <v>#REF!</v>
      </c>
      <c r="K333" s="766" t="e">
        <f>$D333*$G333*L_CBac!$J$69</f>
        <v>#REF!</v>
      </c>
    </row>
    <row r="334" spans="1:11" s="767" customFormat="1" ht="15">
      <c r="A334" s="762" t="e">
        <f>L_CViec!#REF!</f>
        <v>#REF!</v>
      </c>
      <c r="B334" s="763" t="e">
        <f>L_CViec!#REF!</f>
        <v>#REF!</v>
      </c>
      <c r="C334" s="764" t="e">
        <f>L_CViec!#REF!</f>
        <v>#REF!</v>
      </c>
      <c r="D334" s="764" t="e">
        <f>L_CViec!#REF!</f>
        <v>#REF!</v>
      </c>
      <c r="E334" s="764" t="e">
        <f>L_CViec!#REF!</f>
        <v>#REF!</v>
      </c>
      <c r="F334" s="764" t="e">
        <f>L_CViec!#REF!</f>
        <v>#REF!</v>
      </c>
      <c r="G334" s="764" t="e">
        <f>L_CViec!#REF!</f>
        <v>#REF!</v>
      </c>
      <c r="H334" s="765" t="e">
        <f>L_CViec!#REF!</f>
        <v>#REF!</v>
      </c>
      <c r="I334" s="765" t="e">
        <f>G334*H334*L_CBac!$G$68*3</f>
        <v>#REF!</v>
      </c>
      <c r="J334" s="765" t="e">
        <f>$D334*G334*L_CBac!$J$68</f>
        <v>#REF!</v>
      </c>
      <c r="K334" s="766" t="e">
        <f>$D334*$G334*L_CBac!$J$69</f>
        <v>#REF!</v>
      </c>
    </row>
    <row r="335" spans="1:11" s="767" customFormat="1" ht="15">
      <c r="A335" s="762" t="e">
        <f>L_CViec!#REF!</f>
        <v>#REF!</v>
      </c>
      <c r="B335" s="763" t="e">
        <f>L_CViec!#REF!</f>
        <v>#REF!</v>
      </c>
      <c r="C335" s="764" t="e">
        <f>L_CViec!#REF!</f>
        <v>#REF!</v>
      </c>
      <c r="D335" s="764" t="e">
        <f>L_CViec!#REF!</f>
        <v>#REF!</v>
      </c>
      <c r="E335" s="764" t="e">
        <f>L_CViec!#REF!</f>
        <v>#REF!</v>
      </c>
      <c r="F335" s="764" t="e">
        <f>L_CViec!#REF!</f>
        <v>#REF!</v>
      </c>
      <c r="G335" s="764" t="e">
        <f>L_CViec!#REF!</f>
        <v>#REF!</v>
      </c>
      <c r="H335" s="765" t="e">
        <f>L_CViec!#REF!</f>
        <v>#REF!</v>
      </c>
      <c r="I335" s="765" t="e">
        <f>G335*H335*L_CBac!$G$68*5</f>
        <v>#REF!</v>
      </c>
      <c r="J335" s="765" t="e">
        <f>$D335*G335*L_CBac!$J$68</f>
        <v>#REF!</v>
      </c>
      <c r="K335" s="766" t="e">
        <f>$D335*$G335*L_CBac!$J$69</f>
        <v>#REF!</v>
      </c>
    </row>
    <row r="336" spans="1:11" s="767" customFormat="1" ht="15">
      <c r="A336" s="762" t="e">
        <f>L_CViec!#REF!</f>
        <v>#REF!</v>
      </c>
      <c r="B336" s="763" t="e">
        <f>L_CViec!#REF!</f>
        <v>#REF!</v>
      </c>
      <c r="C336" s="764" t="e">
        <f>L_CViec!#REF!</f>
        <v>#REF!</v>
      </c>
      <c r="D336" s="764" t="e">
        <f>L_CViec!#REF!</f>
        <v>#REF!</v>
      </c>
      <c r="E336" s="764" t="e">
        <f>L_CViec!#REF!</f>
        <v>#REF!</v>
      </c>
      <c r="F336" s="764" t="e">
        <f>L_CViec!#REF!</f>
        <v>#REF!</v>
      </c>
      <c r="G336" s="764" t="e">
        <f>L_CViec!#REF!</f>
        <v>#REF!</v>
      </c>
      <c r="H336" s="765" t="e">
        <f>L_CViec!#REF!</f>
        <v>#REF!</v>
      </c>
      <c r="I336" s="765" t="e">
        <f>G336*H336*L_CBac!$G$68</f>
        <v>#REF!</v>
      </c>
      <c r="J336" s="765" t="e">
        <f>$D336*G336*L_CBac!$J$68</f>
        <v>#REF!</v>
      </c>
      <c r="K336" s="766" t="e">
        <f>$D336*$G336*L_CBac!$J$69</f>
        <v>#REF!</v>
      </c>
    </row>
    <row r="337" spans="1:11" s="761" customFormat="1" ht="15">
      <c r="A337" s="756" t="e">
        <f>L_CViec!#REF!</f>
        <v>#REF!</v>
      </c>
      <c r="B337" s="757" t="e">
        <f>L_CViec!#REF!</f>
        <v>#REF!</v>
      </c>
      <c r="C337" s="758" t="e">
        <f>L_CViec!#REF!</f>
        <v>#REF!</v>
      </c>
      <c r="D337" s="758" t="e">
        <f>L_CViec!#REF!</f>
        <v>#REF!</v>
      </c>
      <c r="E337" s="758" t="e">
        <f>L_CViec!#REF!</f>
        <v>#REF!</v>
      </c>
      <c r="F337" s="758" t="e">
        <f>L_CViec!#REF!</f>
        <v>#REF!</v>
      </c>
      <c r="G337" s="758" t="e">
        <f>L_CViec!#REF!</f>
        <v>#REF!</v>
      </c>
      <c r="H337" s="759" t="e">
        <f>L_CViec!#REF!</f>
        <v>#REF!</v>
      </c>
      <c r="I337" s="759" t="e">
        <f>G337*H337*L_CBac!$G$68</f>
        <v>#REF!</v>
      </c>
      <c r="J337" s="759" t="e">
        <f>$D337*G337*L_CBac!$J$68</f>
        <v>#REF!</v>
      </c>
      <c r="K337" s="760" t="e">
        <f>$D337*$G337*L_CBac!$J$69</f>
        <v>#REF!</v>
      </c>
    </row>
    <row r="338" spans="1:11" s="744" customFormat="1" ht="15">
      <c r="A338" s="745" t="e">
        <f>L_CViec!#REF!</f>
        <v>#REF!</v>
      </c>
      <c r="B338" s="746" t="e">
        <f>L_CViec!#REF!</f>
        <v>#REF!</v>
      </c>
      <c r="C338" s="747" t="e">
        <f>L_CViec!#REF!</f>
        <v>#REF!</v>
      </c>
      <c r="D338" s="747" t="e">
        <f>L_CViec!#REF!</f>
        <v>#REF!</v>
      </c>
      <c r="E338" s="747" t="e">
        <f>L_CViec!#REF!</f>
        <v>#REF!</v>
      </c>
      <c r="F338" s="747" t="e">
        <f>L_CViec!#REF!</f>
        <v>#REF!</v>
      </c>
      <c r="G338" s="747" t="e">
        <f>L_CViec!#REF!</f>
        <v>#REF!</v>
      </c>
      <c r="H338" s="748" t="e">
        <f>L_CViec!#REF!</f>
        <v>#REF!</v>
      </c>
      <c r="I338" s="748" t="e">
        <f>G338*H338*L_CBac!$G$68/5000</f>
        <v>#REF!</v>
      </c>
      <c r="J338" s="748" t="e">
        <f>$D338*$G338*L_CBac!$J$68/8000</f>
        <v>#REF!</v>
      </c>
      <c r="K338" s="749" t="e">
        <f>$D338*$G338*L_CBac!$J$69/8000</f>
        <v>#REF!</v>
      </c>
    </row>
    <row r="339" spans="1:11" s="761" customFormat="1" ht="15">
      <c r="A339" s="768" t="e">
        <f>L_CViec!#REF!</f>
        <v>#REF!</v>
      </c>
      <c r="B339" s="733" t="e">
        <f>L_CViec!#REF!</f>
        <v>#REF!</v>
      </c>
      <c r="C339" s="733" t="e">
        <f>L_CViec!#REF!</f>
        <v>#REF!</v>
      </c>
      <c r="D339" s="733" t="e">
        <f>L_CViec!#REF!</f>
        <v>#REF!</v>
      </c>
      <c r="E339" s="733" t="e">
        <f>L_CViec!#REF!</f>
        <v>#REF!</v>
      </c>
      <c r="F339" s="733" t="e">
        <f>L_CViec!#REF!</f>
        <v>#REF!</v>
      </c>
      <c r="G339" s="733" t="e">
        <f>L_CViec!#REF!</f>
        <v>#REF!</v>
      </c>
      <c r="H339" s="734" t="e">
        <f>L_CViec!#REF!</f>
        <v>#REF!</v>
      </c>
      <c r="I339" s="735" t="e">
        <f>SUM(I340,I343,I346)</f>
        <v>#REF!</v>
      </c>
      <c r="J339" s="735" t="e">
        <f>SUM(J340,J343,J346)</f>
        <v>#REF!</v>
      </c>
      <c r="K339" s="736" t="e">
        <f>SUM(K340,K343,K346)</f>
        <v>#REF!</v>
      </c>
    </row>
    <row r="340" spans="1:11" s="761" customFormat="1" ht="15">
      <c r="A340" s="756" t="e">
        <f>L_CViec!#REF!</f>
        <v>#REF!</v>
      </c>
      <c r="B340" s="757" t="e">
        <f>L_CViec!#REF!</f>
        <v>#REF!</v>
      </c>
      <c r="C340" s="758" t="e">
        <f>L_CViec!#REF!</f>
        <v>#REF!</v>
      </c>
      <c r="D340" s="758" t="e">
        <f>L_CViec!#REF!</f>
        <v>#REF!</v>
      </c>
      <c r="E340" s="758" t="e">
        <f>L_CViec!#REF!</f>
        <v>#REF!</v>
      </c>
      <c r="F340" s="758" t="e">
        <f>L_CViec!#REF!</f>
        <v>#REF!</v>
      </c>
      <c r="G340" s="758" t="e">
        <f>L_CViec!#REF!</f>
        <v>#REF!</v>
      </c>
      <c r="H340" s="759" t="e">
        <f>L_CViec!#REF!</f>
        <v>#REF!</v>
      </c>
      <c r="I340" s="759" t="e">
        <f>SUM(I341:I342)</f>
        <v>#REF!</v>
      </c>
      <c r="J340" s="759" t="e">
        <f>SUM(J341:J342)</f>
        <v>#REF!</v>
      </c>
      <c r="K340" s="760" t="e">
        <f>SUM(K341:K342)</f>
        <v>#REF!</v>
      </c>
    </row>
    <row r="341" spans="1:11" s="755" customFormat="1" ht="15">
      <c r="A341" s="750" t="e">
        <f>L_CViec!#REF!</f>
        <v>#REF!</v>
      </c>
      <c r="B341" s="751" t="e">
        <f>L_CViec!#REF!</f>
        <v>#REF!</v>
      </c>
      <c r="C341" s="752" t="e">
        <f>L_CViec!#REF!</f>
        <v>#REF!</v>
      </c>
      <c r="D341" s="752" t="e">
        <f>L_CViec!#REF!</f>
        <v>#REF!</v>
      </c>
      <c r="E341" s="752" t="e">
        <f>L_CViec!#REF!</f>
        <v>#REF!</v>
      </c>
      <c r="F341" s="752" t="e">
        <f>L_CViec!#REF!</f>
        <v>#REF!</v>
      </c>
      <c r="G341" s="752" t="e">
        <f>L_CViec!#REF!</f>
        <v>#REF!</v>
      </c>
      <c r="H341" s="753" t="e">
        <f>L_CViec!#REF!</f>
        <v>#REF!</v>
      </c>
      <c r="I341" s="753" t="e">
        <f>G341*H341*L_CBac!$G$68/5000</f>
        <v>#REF!</v>
      </c>
      <c r="J341" s="753" t="e">
        <f>$D341*$G341*L_CBac!$J$68/8000</f>
        <v>#REF!</v>
      </c>
      <c r="K341" s="754" t="e">
        <f>$D341*$G341*L_CBac!$J$69/8000</f>
        <v>#REF!</v>
      </c>
    </row>
    <row r="342" spans="1:11" s="767" customFormat="1" ht="15">
      <c r="A342" s="762" t="e">
        <f>L_CViec!#REF!</f>
        <v>#REF!</v>
      </c>
      <c r="B342" s="763" t="e">
        <f>L_CViec!#REF!</f>
        <v>#REF!</v>
      </c>
      <c r="C342" s="764" t="e">
        <f>L_CViec!#REF!</f>
        <v>#REF!</v>
      </c>
      <c r="D342" s="764" t="e">
        <f>L_CViec!#REF!</f>
        <v>#REF!</v>
      </c>
      <c r="E342" s="764" t="e">
        <f>L_CViec!#REF!</f>
        <v>#REF!</v>
      </c>
      <c r="F342" s="764" t="e">
        <f>L_CViec!#REF!</f>
        <v>#REF!</v>
      </c>
      <c r="G342" s="764" t="e">
        <f>L_CViec!#REF!</f>
        <v>#REF!</v>
      </c>
      <c r="H342" s="765" t="e">
        <f>L_CViec!#REF!</f>
        <v>#REF!</v>
      </c>
      <c r="I342" s="765" t="e">
        <f>G342*H342*L_CBac!$G$68</f>
        <v>#REF!</v>
      </c>
      <c r="J342" s="765" t="e">
        <f>$D342*G342*L_CBac!$J$68</f>
        <v>#REF!</v>
      </c>
      <c r="K342" s="766" t="e">
        <f>$D342*$G342*L_CBac!$J$69</f>
        <v>#REF!</v>
      </c>
    </row>
    <row r="343" spans="1:11" s="761" customFormat="1" ht="15">
      <c r="A343" s="756" t="e">
        <f>L_CViec!#REF!</f>
        <v>#REF!</v>
      </c>
      <c r="B343" s="757" t="e">
        <f>L_CViec!#REF!</f>
        <v>#REF!</v>
      </c>
      <c r="C343" s="758" t="e">
        <f>L_CViec!#REF!</f>
        <v>#REF!</v>
      </c>
      <c r="D343" s="758" t="e">
        <f>L_CViec!#REF!</f>
        <v>#REF!</v>
      </c>
      <c r="E343" s="758" t="e">
        <f>L_CViec!#REF!</f>
        <v>#REF!</v>
      </c>
      <c r="F343" s="758" t="e">
        <f>L_CViec!#REF!</f>
        <v>#REF!</v>
      </c>
      <c r="G343" s="758" t="e">
        <f>L_CViec!#REF!</f>
        <v>#REF!</v>
      </c>
      <c r="H343" s="759" t="e">
        <f>L_CViec!#REF!</f>
        <v>#REF!</v>
      </c>
      <c r="I343" s="759" t="e">
        <f>SUM(I344:I345)</f>
        <v>#REF!</v>
      </c>
      <c r="J343" s="759" t="e">
        <f>SUM(J344:J345)</f>
        <v>#REF!</v>
      </c>
      <c r="K343" s="760" t="e">
        <f>SUM(K344:K345)</f>
        <v>#REF!</v>
      </c>
    </row>
    <row r="344" spans="1:11" s="755" customFormat="1" ht="15">
      <c r="A344" s="750" t="e">
        <f>L_CViec!#REF!</f>
        <v>#REF!</v>
      </c>
      <c r="B344" s="751" t="e">
        <f>L_CViec!#REF!</f>
        <v>#REF!</v>
      </c>
      <c r="C344" s="752" t="e">
        <f>L_CViec!#REF!</f>
        <v>#REF!</v>
      </c>
      <c r="D344" s="752" t="e">
        <f>L_CViec!#REF!</f>
        <v>#REF!</v>
      </c>
      <c r="E344" s="752" t="e">
        <f>L_CViec!#REF!</f>
        <v>#REF!</v>
      </c>
      <c r="F344" s="752" t="e">
        <f>L_CViec!#REF!</f>
        <v>#REF!</v>
      </c>
      <c r="G344" s="752" t="e">
        <f>L_CViec!#REF!</f>
        <v>#REF!</v>
      </c>
      <c r="H344" s="753" t="e">
        <f>L_CViec!#REF!</f>
        <v>#REF!</v>
      </c>
      <c r="I344" s="753" t="e">
        <f>G344*H344*L_CBac!$G$68/5000*60*2</f>
        <v>#REF!</v>
      </c>
      <c r="J344" s="753" t="e">
        <f>$D344*$G344*L_CBac!$J$68/8000*60</f>
        <v>#REF!</v>
      </c>
      <c r="K344" s="754" t="e">
        <f>$D344*$G344*L_CBac!$J$69/8000*60</f>
        <v>#REF!</v>
      </c>
    </row>
    <row r="345" spans="1:11" s="755" customFormat="1" ht="15">
      <c r="A345" s="750" t="e">
        <f>L_CViec!#REF!</f>
        <v>#REF!</v>
      </c>
      <c r="B345" s="751" t="e">
        <f>L_CViec!#REF!</f>
        <v>#REF!</v>
      </c>
      <c r="C345" s="752" t="e">
        <f>L_CViec!#REF!</f>
        <v>#REF!</v>
      </c>
      <c r="D345" s="752" t="e">
        <f>L_CViec!#REF!</f>
        <v>#REF!</v>
      </c>
      <c r="E345" s="752" t="e">
        <f>L_CViec!#REF!</f>
        <v>#REF!</v>
      </c>
      <c r="F345" s="752" t="e">
        <f>L_CViec!#REF!</f>
        <v>#REF!</v>
      </c>
      <c r="G345" s="752" t="e">
        <f>L_CViec!#REF!</f>
        <v>#REF!</v>
      </c>
      <c r="H345" s="753" t="e">
        <f>L_CViec!#REF!</f>
        <v>#REF!</v>
      </c>
      <c r="I345" s="753" t="e">
        <f>G345*H345*L_CBac!$G$68/5000*3</f>
        <v>#REF!</v>
      </c>
      <c r="J345" s="753" t="e">
        <f>$D345*$G345*L_CBac!$J$68/8000</f>
        <v>#REF!</v>
      </c>
      <c r="K345" s="754" t="e">
        <f>$D345*$G345*L_CBac!$J$69/8000</f>
        <v>#REF!</v>
      </c>
    </row>
    <row r="346" spans="1:11" s="744" customFormat="1" ht="15">
      <c r="A346" s="802" t="e">
        <f>L_CViec!#REF!</f>
        <v>#REF!</v>
      </c>
      <c r="B346" s="803" t="e">
        <f>L_CViec!#REF!</f>
        <v>#REF!</v>
      </c>
      <c r="C346" s="804" t="e">
        <f>L_CViec!#REF!</f>
        <v>#REF!</v>
      </c>
      <c r="D346" s="804" t="e">
        <f>L_CViec!#REF!</f>
        <v>#REF!</v>
      </c>
      <c r="E346" s="804" t="e">
        <f>L_CViec!#REF!</f>
        <v>#REF!</v>
      </c>
      <c r="F346" s="804" t="e">
        <f>L_CViec!#REF!</f>
        <v>#REF!</v>
      </c>
      <c r="G346" s="804" t="e">
        <f>L_CViec!#REF!</f>
        <v>#REF!</v>
      </c>
      <c r="H346" s="805" t="e">
        <f>L_CViec!#REF!</f>
        <v>#REF!</v>
      </c>
      <c r="I346" s="748" t="e">
        <f>G346*H346*L_CBac!$G$68/5000*2</f>
        <v>#REF!</v>
      </c>
      <c r="J346" s="748" t="e">
        <f>$D346*$G346*L_CBac!$J$68/8000</f>
        <v>#REF!</v>
      </c>
      <c r="K346" s="749" t="e">
        <f>$D346*$G346*L_CBac!$J$69/8000</f>
        <v>#REF!</v>
      </c>
    </row>
    <row r="347" spans="1:11" s="761" customFormat="1" ht="17.25" customHeight="1">
      <c r="A347" s="806" t="e">
        <f>L_CViec!#REF!</f>
        <v>#REF!</v>
      </c>
      <c r="B347" s="807" t="e">
        <f>L_CViec!#REF!</f>
        <v>#REF!</v>
      </c>
      <c r="C347" s="807" t="e">
        <f>L_CViec!#REF!</f>
        <v>#REF!</v>
      </c>
      <c r="D347" s="807"/>
      <c r="E347" s="807" t="e">
        <f>L_CViec!#REF!</f>
        <v>#REF!</v>
      </c>
      <c r="F347" s="807" t="e">
        <f>L_CViec!#REF!</f>
        <v>#REF!</v>
      </c>
      <c r="G347" s="807" t="e">
        <f>L_CViec!#REF!</f>
        <v>#REF!</v>
      </c>
      <c r="H347" s="808" t="e">
        <f>L_CViec!#REF!</f>
        <v>#REF!</v>
      </c>
      <c r="I347" s="809"/>
      <c r="J347" s="809"/>
      <c r="K347" s="810"/>
    </row>
    <row r="348" spans="1:11" s="761" customFormat="1" ht="54.6" customHeight="1">
      <c r="A348" s="811" t="e">
        <f>L_CViec!#REF!</f>
        <v>#REF!</v>
      </c>
      <c r="B348" s="1705" t="e">
        <f>L_CViec!#REF!</f>
        <v>#REF!</v>
      </c>
      <c r="C348" s="1706"/>
      <c r="D348" s="1706"/>
      <c r="E348" s="1706"/>
      <c r="F348" s="1706"/>
      <c r="G348" s="1706"/>
      <c r="H348" s="1706"/>
      <c r="I348" s="1706"/>
      <c r="J348" s="1706"/>
      <c r="K348" s="1707"/>
    </row>
    <row r="349" spans="1:11" s="761" customFormat="1" ht="43.9" customHeight="1">
      <c r="A349" s="811" t="e">
        <f>L_CViec!#REF!</f>
        <v>#REF!</v>
      </c>
      <c r="B349" s="1705" t="e">
        <f>L_CViec!#REF!</f>
        <v>#REF!</v>
      </c>
      <c r="C349" s="1706"/>
      <c r="D349" s="1706"/>
      <c r="E349" s="1706"/>
      <c r="F349" s="1706"/>
      <c r="G349" s="1706"/>
      <c r="H349" s="1706"/>
      <c r="I349" s="1706"/>
      <c r="J349" s="1706"/>
      <c r="K349" s="1707"/>
    </row>
    <row r="350" spans="1:11" s="761" customFormat="1" ht="30" customHeight="1">
      <c r="A350" s="812" t="e">
        <f>L_CViec!#REF!</f>
        <v>#REF!</v>
      </c>
      <c r="B350" s="1708" t="e">
        <f>L_CViec!#REF!</f>
        <v>#REF!</v>
      </c>
      <c r="C350" s="1709"/>
      <c r="D350" s="1709"/>
      <c r="E350" s="1709"/>
      <c r="F350" s="1709"/>
      <c r="G350" s="1709"/>
      <c r="H350" s="1709"/>
      <c r="I350" s="1709"/>
      <c r="J350" s="1709"/>
      <c r="K350" s="1710"/>
    </row>
    <row r="351" spans="1:11" s="761" customFormat="1" ht="37.9" customHeight="1">
      <c r="A351" s="811" t="e">
        <f>L_CViec!#REF!</f>
        <v>#REF!</v>
      </c>
      <c r="B351" s="1705" t="e">
        <f>L_CViec!#REF!</f>
        <v>#REF!</v>
      </c>
      <c r="C351" s="1706"/>
      <c r="D351" s="1706"/>
      <c r="E351" s="1706"/>
      <c r="F351" s="1706"/>
      <c r="G351" s="1706"/>
      <c r="H351" s="1706"/>
      <c r="I351" s="1706"/>
      <c r="J351" s="1706"/>
      <c r="K351" s="1707"/>
    </row>
    <row r="352" spans="1:11" s="761" customFormat="1" ht="30.75" customHeight="1">
      <c r="A352" s="811" t="e">
        <f>L_CViec!#REF!</f>
        <v>#REF!</v>
      </c>
      <c r="B352" s="1705" t="e">
        <f>L_CViec!#REF!</f>
        <v>#REF!</v>
      </c>
      <c r="C352" s="1706"/>
      <c r="D352" s="1706"/>
      <c r="E352" s="1706"/>
      <c r="F352" s="1706"/>
      <c r="G352" s="1706"/>
      <c r="H352" s="1706"/>
      <c r="I352" s="1706"/>
      <c r="J352" s="1706"/>
      <c r="K352" s="1707"/>
    </row>
    <row r="353" spans="1:11" s="761" customFormat="1" ht="30" customHeight="1">
      <c r="A353" s="812" t="e">
        <f>L_CViec!#REF!</f>
        <v>#REF!</v>
      </c>
      <c r="B353" s="1708" t="e">
        <f>L_CViec!#REF!</f>
        <v>#REF!</v>
      </c>
      <c r="C353" s="1709"/>
      <c r="D353" s="1709"/>
      <c r="E353" s="1709"/>
      <c r="F353" s="1709"/>
      <c r="G353" s="1709"/>
      <c r="H353" s="1709"/>
      <c r="I353" s="1709"/>
      <c r="J353" s="1709"/>
      <c r="K353" s="1710"/>
    </row>
    <row r="354" spans="1:11" s="761" customFormat="1" ht="25.9" customHeight="1" thickBot="1">
      <c r="A354" s="813" t="e">
        <f>L_CViec!#REF!</f>
        <v>#REF!</v>
      </c>
      <c r="B354" s="1702" t="e">
        <f>L_CViec!#REF!</f>
        <v>#REF!</v>
      </c>
      <c r="C354" s="1703"/>
      <c r="D354" s="1703"/>
      <c r="E354" s="1703"/>
      <c r="F354" s="1703"/>
      <c r="G354" s="1703"/>
      <c r="H354" s="1703"/>
      <c r="I354" s="1703"/>
      <c r="J354" s="1703"/>
      <c r="K354" s="1704"/>
    </row>
    <row r="355" spans="1:11" s="86" customFormat="1" ht="19.5" customHeight="1">
      <c r="A355" s="135" t="str">
        <f>L_CViec!A489</f>
        <v>XI</v>
      </c>
      <c r="B355" s="136" t="str">
        <f>L_CViec!B489</f>
        <v>TRÍCH LỤC HỒ SƠ ĐỊA CHÍNH</v>
      </c>
      <c r="C355" s="136" t="s">
        <v>350</v>
      </c>
      <c r="D355" s="136"/>
      <c r="E355" s="136">
        <f>L_CViec!AC489</f>
        <v>0</v>
      </c>
      <c r="F355" s="136">
        <f>L_CViec!AD489</f>
        <v>0</v>
      </c>
      <c r="G355" s="136">
        <f>L_CViec!AE489</f>
        <v>0</v>
      </c>
      <c r="H355" s="130"/>
      <c r="I355" s="130">
        <f>I356+I358+I361</f>
        <v>68257.214999999997</v>
      </c>
      <c r="J355" s="154">
        <f>J356+J358+J361</f>
        <v>5112.9000000000005</v>
      </c>
      <c r="K355" s="184">
        <f>K356+K358+K361</f>
        <v>5615.3846153846162</v>
      </c>
    </row>
    <row r="356" spans="1:11" s="85" customFormat="1" ht="18" customHeight="1">
      <c r="A356" s="122" t="str">
        <f>L_CViec!A490</f>
        <v>1</v>
      </c>
      <c r="B356" s="80" t="str">
        <f>L_CViec!B490</f>
        <v>Nhận, trả hồ sơ, thu phí, lệ phí</v>
      </c>
      <c r="C356" s="78" t="str">
        <f>L_CViec!AB490</f>
        <v>Hồ sơ</v>
      </c>
      <c r="D356" s="78">
        <f>L_CViec!AA490</f>
        <v>1</v>
      </c>
      <c r="E356" s="78" t="str">
        <f>L_CViec!AC490</f>
        <v>1KS2</v>
      </c>
      <c r="F356" s="78">
        <f>L_CViec!AD490</f>
        <v>0</v>
      </c>
      <c r="G356" s="78" t="str">
        <f>L_CViec!AE490</f>
        <v>0.100</v>
      </c>
      <c r="H356" s="95">
        <f>L_CViec!AF490</f>
        <v>296770.5</v>
      </c>
      <c r="I356" s="95">
        <f>G356*H356*L_CBac!$G$68</f>
        <v>34128.607499999998</v>
      </c>
      <c r="J356" s="152">
        <f>$D356*$G356*L_CBac!$J$68</f>
        <v>2556.4500000000003</v>
      </c>
      <c r="K356" s="96">
        <f>$D356*$G356*L_CBac!$J$69</f>
        <v>2807.6923076923081</v>
      </c>
    </row>
    <row r="357" spans="1:11" s="85" customFormat="1" ht="18" customHeight="1">
      <c r="A357" s="122" t="str">
        <f>L_CViec!A491</f>
        <v>2</v>
      </c>
      <c r="B357" s="80" t="str">
        <f>L_CViec!B491</f>
        <v>Trích lục thửa đất</v>
      </c>
      <c r="C357" s="78">
        <f>L_CViec!AB491</f>
        <v>0</v>
      </c>
      <c r="D357" s="78">
        <f>L_CViec!AA491</f>
        <v>0</v>
      </c>
      <c r="E357" s="78">
        <f>L_CViec!AC491</f>
        <v>0</v>
      </c>
      <c r="F357" s="78">
        <f>L_CViec!AD491</f>
        <v>0</v>
      </c>
      <c r="G357" s="78">
        <f>L_CViec!AE491</f>
        <v>0</v>
      </c>
      <c r="H357" s="95">
        <f>L_CViec!AF491</f>
        <v>0</v>
      </c>
      <c r="I357" s="95"/>
      <c r="J357" s="152"/>
      <c r="K357" s="96"/>
    </row>
    <row r="358" spans="1:11" s="111" customFormat="1" ht="18" customHeight="1">
      <c r="A358" s="125" t="str">
        <f>L_CViec!A492</f>
        <v>2.1</v>
      </c>
      <c r="B358" s="124" t="str">
        <f>L_CViec!B492</f>
        <v>Trích lục từ hồ sơ địa chính số</v>
      </c>
      <c r="C358" s="123" t="str">
        <f>L_CViec!AB492</f>
        <v>Hồ sơ</v>
      </c>
      <c r="D358" s="123">
        <f>L_CViec!AA492</f>
        <v>1</v>
      </c>
      <c r="E358" s="123" t="str">
        <f>L_CViec!AC492</f>
        <v>1KS2</v>
      </c>
      <c r="F358" s="123">
        <f>L_CViec!AD492</f>
        <v>0</v>
      </c>
      <c r="G358" s="123" t="str">
        <f>L_CViec!AE492</f>
        <v>0.050</v>
      </c>
      <c r="H358" s="93">
        <f>L_CViec!AF492</f>
        <v>296770.5</v>
      </c>
      <c r="I358" s="93">
        <f>G358*H358*L_CBac!$G$68</f>
        <v>17064.303749999999</v>
      </c>
      <c r="J358" s="155">
        <f>$D358*$G358*L_CBac!$J$68</f>
        <v>1278.2250000000001</v>
      </c>
      <c r="K358" s="94">
        <f>$D358*$G358*L_CBac!$J$69</f>
        <v>1403.846153846154</v>
      </c>
    </row>
    <row r="359" spans="1:11" s="111" customFormat="1" ht="18" customHeight="1">
      <c r="A359" s="125" t="str">
        <f>L_CViec!A493</f>
        <v>2.2</v>
      </c>
      <c r="B359" s="124" t="str">
        <f>L_CViec!B493</f>
        <v>Trích sao từ hồ sơ địa chính giấy</v>
      </c>
      <c r="C359" s="123" t="str">
        <f>L_CViec!AB493</f>
        <v>Hồ sơ</v>
      </c>
      <c r="D359" s="123">
        <f>L_CViec!AA493</f>
        <v>1</v>
      </c>
      <c r="E359" s="123" t="str">
        <f>L_CViec!AC493</f>
        <v>1KS2</v>
      </c>
      <c r="F359" s="123">
        <f>L_CViec!AD493</f>
        <v>0</v>
      </c>
      <c r="G359" s="123" t="str">
        <f>L_CViec!AE493</f>
        <v>0.100</v>
      </c>
      <c r="H359" s="93">
        <f>L_CViec!AF493</f>
        <v>296770.5</v>
      </c>
      <c r="I359" s="93">
        <f>G359*H359*L_CBac!$G$68</f>
        <v>34128.607499999998</v>
      </c>
      <c r="J359" s="155">
        <f>$D359*$G359*L_CBac!$J$68</f>
        <v>2556.4500000000003</v>
      </c>
      <c r="K359" s="94">
        <f>$D359*$G359*L_CBac!$J$69</f>
        <v>2807.6923076923081</v>
      </c>
    </row>
    <row r="360" spans="1:11" s="85" customFormat="1" ht="18" customHeight="1">
      <c r="A360" s="122" t="str">
        <f>L_CViec!A494</f>
        <v>3</v>
      </c>
      <c r="B360" s="80" t="str">
        <f>L_CViec!B494</f>
        <v>Trích sao thông tin địa chính</v>
      </c>
      <c r="C360" s="78">
        <f>L_CViec!AB494</f>
        <v>0</v>
      </c>
      <c r="D360" s="78">
        <f>L_CViec!AA494</f>
        <v>0</v>
      </c>
      <c r="E360" s="78">
        <f>L_CViec!AC494</f>
        <v>0</v>
      </c>
      <c r="F360" s="78">
        <f>L_CViec!AD494</f>
        <v>0</v>
      </c>
      <c r="G360" s="78">
        <f>L_CViec!AE494</f>
        <v>0</v>
      </c>
      <c r="H360" s="95">
        <f>L_CViec!AF494</f>
        <v>0</v>
      </c>
      <c r="I360" s="95"/>
      <c r="J360" s="152"/>
      <c r="K360" s="96"/>
    </row>
    <row r="361" spans="1:11" s="111" customFormat="1" ht="18" customHeight="1">
      <c r="A361" s="125" t="str">
        <f>L_CViec!A495</f>
        <v>3.1</v>
      </c>
      <c r="B361" s="124" t="str">
        <f>L_CViec!B495</f>
        <v>Trích sao từ hồ sơ địa chính số</v>
      </c>
      <c r="C361" s="123" t="str">
        <f>L_CViec!AB495</f>
        <v>Hồ sơ</v>
      </c>
      <c r="D361" s="123">
        <f>L_CViec!AA495</f>
        <v>1</v>
      </c>
      <c r="E361" s="123" t="str">
        <f>L_CViec!AC495</f>
        <v>1KS2</v>
      </c>
      <c r="F361" s="123">
        <f>L_CViec!AD495</f>
        <v>0</v>
      </c>
      <c r="G361" s="123" t="str">
        <f>L_CViec!AE495</f>
        <v>0.050</v>
      </c>
      <c r="H361" s="93">
        <f>L_CViec!AF495</f>
        <v>296770.5</v>
      </c>
      <c r="I361" s="93">
        <f>G361*H361*L_CBac!$G$68</f>
        <v>17064.303749999999</v>
      </c>
      <c r="J361" s="155">
        <f>$D361*$G361*L_CBac!$J$68</f>
        <v>1278.2250000000001</v>
      </c>
      <c r="K361" s="94">
        <f>$D361*$G361*L_CBac!$J$69</f>
        <v>1403.846153846154</v>
      </c>
    </row>
    <row r="362" spans="1:11" s="111" customFormat="1" ht="18" customHeight="1">
      <c r="A362" s="178" t="str">
        <f>L_CViec!A496</f>
        <v>3.2</v>
      </c>
      <c r="B362" s="179" t="str">
        <f>L_CViec!B496</f>
        <v>Trích sao từ hồ sơ địa chính giấy</v>
      </c>
      <c r="C362" s="180" t="str">
        <f>L_CViec!AB496</f>
        <v>Hồ sơ</v>
      </c>
      <c r="D362" s="180">
        <f>L_CViec!AA496</f>
        <v>1</v>
      </c>
      <c r="E362" s="180" t="str">
        <f>L_CViec!AC496</f>
        <v>1KS2</v>
      </c>
      <c r="F362" s="180">
        <f>L_CViec!AD496</f>
        <v>0</v>
      </c>
      <c r="G362" s="180" t="str">
        <f>L_CViec!AE496</f>
        <v>0.100</v>
      </c>
      <c r="H362" s="181">
        <f>L_CViec!AF496</f>
        <v>296770.5</v>
      </c>
      <c r="I362" s="181">
        <f>G362*H362*L_CBac!$G$68</f>
        <v>34128.607499999998</v>
      </c>
      <c r="J362" s="182">
        <f>$D362*$G362*L_CBac!$J$68</f>
        <v>2556.4500000000003</v>
      </c>
      <c r="K362" s="183">
        <f>$D362*$G362*L_CBac!$J$69</f>
        <v>2807.6923076923081</v>
      </c>
    </row>
    <row r="363" spans="1:11" s="85" customFormat="1" ht="18" customHeight="1">
      <c r="A363" s="150">
        <f>L_CViec!A497</f>
        <v>0</v>
      </c>
      <c r="B363" s="177" t="str">
        <f>L_CViec!B497</f>
        <v>Ghi chú:</v>
      </c>
      <c r="C363" s="177">
        <f>L_CViec!AB497</f>
        <v>0</v>
      </c>
      <c r="D363" s="177"/>
      <c r="E363" s="177">
        <f>L_CViec!AC497</f>
        <v>0</v>
      </c>
      <c r="F363" s="177">
        <f>L_CViec!AD497</f>
        <v>0</v>
      </c>
      <c r="G363" s="151">
        <f>L_CViec!AE497</f>
        <v>0</v>
      </c>
      <c r="H363" s="91">
        <f>L_CViec!AF497</f>
        <v>0</v>
      </c>
      <c r="I363" s="91"/>
      <c r="J363" s="159"/>
      <c r="K363" s="92"/>
    </row>
    <row r="364" spans="1:11" s="85" customFormat="1" ht="25.5">
      <c r="A364" s="122">
        <v>1</v>
      </c>
      <c r="B364" s="80" t="str">
        <f>L_CViec!B498</f>
        <v>Trường hợp trích lục hồ sơ cho 01 khu đất (gồm nhiều thửa) mức áp dụng như sau:</v>
      </c>
      <c r="C364" s="80">
        <f>L_CViec!AB498</f>
        <v>0</v>
      </c>
      <c r="D364" s="80"/>
      <c r="E364" s="80">
        <f>L_CViec!AC498</f>
        <v>0</v>
      </c>
      <c r="F364" s="80">
        <f>L_CViec!AD498</f>
        <v>0</v>
      </c>
      <c r="G364" s="78">
        <f>L_CViec!AE498</f>
        <v>0</v>
      </c>
      <c r="H364" s="95">
        <f>L_CViec!AF498</f>
        <v>0</v>
      </c>
      <c r="I364" s="95"/>
      <c r="J364" s="152"/>
      <c r="K364" s="96"/>
    </row>
    <row r="365" spans="1:11" s="85" customFormat="1" ht="25.5">
      <c r="A365" s="122"/>
      <c r="B365" s="80" t="str">
        <f>L_CViec!B499</f>
        <v>- Dưới 05 thửa: Mức cho một thửa tính bằng 0,80 mức quy định tại Bảng 14;</v>
      </c>
      <c r="C365" s="80">
        <f>L_CViec!AB499</f>
        <v>0</v>
      </c>
      <c r="D365" s="80"/>
      <c r="E365" s="80">
        <f>L_CViec!AC499</f>
        <v>0</v>
      </c>
      <c r="F365" s="80">
        <f>L_CViec!AD499</f>
        <v>0</v>
      </c>
      <c r="G365" s="78">
        <f>L_CViec!AE499</f>
        <v>0.8</v>
      </c>
      <c r="H365" s="95">
        <f>L_CViec!AF499</f>
        <v>0</v>
      </c>
      <c r="I365" s="95">
        <f>$G365*I$355</f>
        <v>54605.771999999997</v>
      </c>
      <c r="J365" s="152">
        <f t="shared" ref="J365:K367" si="5">$G365*J$355</f>
        <v>4090.3200000000006</v>
      </c>
      <c r="K365" s="96">
        <f t="shared" si="5"/>
        <v>4492.3076923076933</v>
      </c>
    </row>
    <row r="366" spans="1:11" s="85" customFormat="1" ht="25.5">
      <c r="A366" s="122"/>
      <c r="B366" s="80" t="str">
        <f>L_CViec!B500</f>
        <v>- Từ 05 thửa đến 10 thửa: Mức cho một thửa tính bằng 0,65 mức quy định tại Bảng 14;</v>
      </c>
      <c r="C366" s="80">
        <f>L_CViec!AB500</f>
        <v>0</v>
      </c>
      <c r="D366" s="80"/>
      <c r="E366" s="80">
        <f>L_CViec!AC500</f>
        <v>0</v>
      </c>
      <c r="F366" s="80">
        <f>L_CViec!AD500</f>
        <v>0</v>
      </c>
      <c r="G366" s="78">
        <f>L_CViec!AE500</f>
        <v>0.65</v>
      </c>
      <c r="H366" s="95">
        <f>L_CViec!AF500</f>
        <v>0</v>
      </c>
      <c r="I366" s="95">
        <f>$G366*I$355</f>
        <v>44367.189749999998</v>
      </c>
      <c r="J366" s="152">
        <f t="shared" si="5"/>
        <v>3323.3850000000007</v>
      </c>
      <c r="K366" s="96">
        <f t="shared" si="5"/>
        <v>3650.0000000000005</v>
      </c>
    </row>
    <row r="367" spans="1:11" s="85" customFormat="1" ht="25.5">
      <c r="A367" s="122"/>
      <c r="B367" s="80" t="str">
        <f>L_CViec!B501</f>
        <v>- Trên 10 thửa: Mức cho một thửa tính bằng 0,50 mức quy định tại Bảng 14.</v>
      </c>
      <c r="C367" s="80">
        <f>L_CViec!AB501</f>
        <v>0</v>
      </c>
      <c r="D367" s="80"/>
      <c r="E367" s="80">
        <f>L_CViec!AC501</f>
        <v>0</v>
      </c>
      <c r="F367" s="80">
        <f>L_CViec!AD501</f>
        <v>0</v>
      </c>
      <c r="G367" s="78">
        <f>L_CViec!AE501</f>
        <v>0.5</v>
      </c>
      <c r="H367" s="95">
        <f>L_CViec!AF501</f>
        <v>0</v>
      </c>
      <c r="I367" s="95">
        <f>$G367*I$355</f>
        <v>34128.607499999998</v>
      </c>
      <c r="J367" s="152">
        <f t="shared" si="5"/>
        <v>2556.4500000000003</v>
      </c>
      <c r="K367" s="96">
        <f t="shared" si="5"/>
        <v>2807.6923076923081</v>
      </c>
    </row>
    <row r="368" spans="1:11" s="85" customFormat="1" ht="13.5" thickBot="1">
      <c r="A368" s="127"/>
      <c r="B368" s="132"/>
      <c r="C368" s="132"/>
      <c r="D368" s="132"/>
      <c r="E368" s="132"/>
      <c r="F368" s="132"/>
      <c r="G368" s="128"/>
      <c r="H368" s="97"/>
      <c r="I368" s="97"/>
      <c r="J368" s="171"/>
      <c r="K368" s="98"/>
    </row>
    <row r="369" spans="3:12">
      <c r="C369" s="24"/>
      <c r="D369" s="24"/>
      <c r="E369" s="24"/>
      <c r="F369" s="24"/>
      <c r="H369" s="26"/>
      <c r="I369" s="26"/>
      <c r="J369" s="26"/>
      <c r="K369" s="26"/>
      <c r="L369" s="26"/>
    </row>
    <row r="370" spans="3:12">
      <c r="C370" s="24"/>
      <c r="D370" s="24"/>
      <c r="E370" s="24"/>
      <c r="F370" s="24"/>
      <c r="H370" s="26"/>
      <c r="I370" s="26"/>
      <c r="J370" s="26"/>
      <c r="K370" s="26"/>
      <c r="L370" s="26"/>
    </row>
    <row r="371" spans="3:12">
      <c r="L371" s="26"/>
    </row>
    <row r="372" spans="3:12">
      <c r="L372" s="26"/>
    </row>
    <row r="373" spans="3:12">
      <c r="L373" s="26"/>
    </row>
  </sheetData>
  <mergeCells count="65">
    <mergeCell ref="A1:K1"/>
    <mergeCell ref="A3:A4"/>
    <mergeCell ref="C3:C4"/>
    <mergeCell ref="D3:D4"/>
    <mergeCell ref="E3:E4"/>
    <mergeCell ref="H3:H4"/>
    <mergeCell ref="I3:I4"/>
    <mergeCell ref="B5:I5"/>
    <mergeCell ref="A6:A11"/>
    <mergeCell ref="B6:C11"/>
    <mergeCell ref="F6:F7"/>
    <mergeCell ref="F8:F9"/>
    <mergeCell ref="F10:F11"/>
    <mergeCell ref="B86:K86"/>
    <mergeCell ref="B87:K87"/>
    <mergeCell ref="B88:K88"/>
    <mergeCell ref="B89:K89"/>
    <mergeCell ref="B41:C41"/>
    <mergeCell ref="B73:C73"/>
    <mergeCell ref="B82:K82"/>
    <mergeCell ref="B83:K83"/>
    <mergeCell ref="B84:K84"/>
    <mergeCell ref="B85:K85"/>
    <mergeCell ref="B90:I90"/>
    <mergeCell ref="A91:A98"/>
    <mergeCell ref="B91:B98"/>
    <mergeCell ref="F91:F92"/>
    <mergeCell ref="F93:F94"/>
    <mergeCell ref="F95:F96"/>
    <mergeCell ref="F97:F98"/>
    <mergeCell ref="B177:K177"/>
    <mergeCell ref="B178:K178"/>
    <mergeCell ref="B171:K171"/>
    <mergeCell ref="B172:K172"/>
    <mergeCell ref="B173:K173"/>
    <mergeCell ref="B174:K174"/>
    <mergeCell ref="B175:K175"/>
    <mergeCell ref="B176:K176"/>
    <mergeCell ref="B179:I179"/>
    <mergeCell ref="A180:A185"/>
    <mergeCell ref="B180:B185"/>
    <mergeCell ref="F180:F181"/>
    <mergeCell ref="F182:F183"/>
    <mergeCell ref="F184:F185"/>
    <mergeCell ref="B264:K264"/>
    <mergeCell ref="B258:K258"/>
    <mergeCell ref="B259:K259"/>
    <mergeCell ref="B260:K260"/>
    <mergeCell ref="B261:K261"/>
    <mergeCell ref="B262:K262"/>
    <mergeCell ref="B263:K263"/>
    <mergeCell ref="B265:I265"/>
    <mergeCell ref="A266:A273"/>
    <mergeCell ref="B266:B273"/>
    <mergeCell ref="F266:F267"/>
    <mergeCell ref="F268:F269"/>
    <mergeCell ref="F270:F271"/>
    <mergeCell ref="F272:F273"/>
    <mergeCell ref="B354:K354"/>
    <mergeCell ref="B348:K348"/>
    <mergeCell ref="B349:K349"/>
    <mergeCell ref="B350:K350"/>
    <mergeCell ref="B351:K351"/>
    <mergeCell ref="B352:K352"/>
    <mergeCell ref="B353:K353"/>
  </mergeCells>
  <printOptions horizontalCentered="1"/>
  <pageMargins left="0.59055118110236227" right="0.19685039370078741" top="0.39370078740157483" bottom="0.43307086614173229" header="0.19685039370078741" footer="0.19685039370078741"/>
  <pageSetup paperSize="9" firstPageNumber="100" pageOrder="overThenDown" orientation="landscape" useFirstPageNumber="1" horizontalDpi="300" verticalDpi="300" r:id="rId1"/>
  <headerFooter alignWithMargins="0">
    <oddFooter>&amp;C&amp;P</oddFooter>
  </headerFooter>
  <rowBreaks count="2" manualBreakCount="2">
    <brk id="178" max="16383" man="1"/>
    <brk id="354" max="16383" man="1"/>
  </rowBreaks>
  <colBreaks count="1" manualBreakCount="1">
    <brk id="11" max="1048575" man="1"/>
  </colBreaks>
  <ignoredErrors>
    <ignoredError sqref="I8:J10 I92:I98"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theme="3" tint="0.59999389629810485"/>
  </sheetPr>
  <dimension ref="A1:S352"/>
  <sheetViews>
    <sheetView showZeros="0" zoomScale="80" zoomScaleNormal="80" workbookViewId="0">
      <pane xSplit="3" ySplit="5" topLeftCell="D121" activePane="bottomRight" state="frozen"/>
      <selection activeCell="R92" sqref="R92"/>
      <selection pane="topRight" activeCell="R92" sqref="R92"/>
      <selection pane="bottomLeft" activeCell="R92" sqref="R92"/>
      <selection pane="bottomRight" activeCell="R92" sqref="R92"/>
    </sheetView>
  </sheetViews>
  <sheetFormatPr defaultColWidth="9" defaultRowHeight="12.75"/>
  <cols>
    <col min="1" max="1" width="6.33203125" style="24" customWidth="1"/>
    <col min="2" max="2" width="33.21875" style="26" customWidth="1"/>
    <col min="3" max="3" width="6.109375" style="25" customWidth="1"/>
    <col min="4" max="4" width="4.77734375" style="25" bestFit="1" customWidth="1"/>
    <col min="5" max="5" width="8.33203125" style="25" customWidth="1"/>
    <col min="6" max="6" width="5.21875" style="25" customWidth="1"/>
    <col min="7" max="7" width="5.88671875" style="24" bestFit="1" customWidth="1"/>
    <col min="8" max="9" width="6.44140625" style="28" customWidth="1"/>
    <col min="10" max="10" width="8.21875" style="28" bestFit="1" customWidth="1"/>
    <col min="11" max="11" width="9.88671875" style="28" customWidth="1"/>
    <col min="12" max="12" width="9.6640625" style="24" customWidth="1"/>
    <col min="13" max="13" width="10.33203125" style="26" customWidth="1"/>
    <col min="14" max="16" width="6.88671875" style="26" bestFit="1" customWidth="1"/>
    <col min="17" max="19" width="7.21875" style="26" hidden="1" customWidth="1"/>
    <col min="20" max="20" width="4.88671875" style="26" customWidth="1"/>
    <col min="21" max="21" width="5.77734375" style="26" customWidth="1"/>
    <col min="22" max="22" width="9.109375" style="26" customWidth="1"/>
    <col min="23" max="24" width="7.33203125" style="26" bestFit="1" customWidth="1"/>
    <col min="25" max="26" width="5.33203125" style="26" bestFit="1" customWidth="1"/>
    <col min="27" max="27" width="8.77734375" style="26" customWidth="1"/>
    <col min="28" max="29" width="7.33203125" style="26" bestFit="1" customWidth="1"/>
    <col min="30" max="30" width="5.33203125" style="26" bestFit="1" customWidth="1"/>
    <col min="31" max="31" width="6.6640625" style="26" bestFit="1" customWidth="1"/>
    <col min="32" max="32" width="9.109375" style="26" bestFit="1" customWidth="1"/>
    <col min="33" max="33" width="7.33203125" style="26" bestFit="1" customWidth="1"/>
    <col min="34" max="34" width="8.21875" style="26" bestFit="1" customWidth="1"/>
    <col min="35" max="35" width="5.6640625" style="26" customWidth="1"/>
    <col min="36" max="36" width="7.44140625" style="26" customWidth="1"/>
    <col min="37" max="37" width="9.6640625" style="26" customWidth="1"/>
    <col min="38" max="38" width="5.33203125" style="26" bestFit="1" customWidth="1"/>
    <col min="39" max="39" width="7" style="26" customWidth="1"/>
    <col min="40" max="16384" width="9" style="26"/>
  </cols>
  <sheetData>
    <row r="1" spans="1:19" s="27" customFormat="1" ht="18.75">
      <c r="A1" s="1368" t="s">
        <v>42</v>
      </c>
      <c r="B1" s="1368"/>
      <c r="C1" s="1368"/>
      <c r="D1" s="1368"/>
      <c r="E1" s="1368"/>
      <c r="F1" s="1368"/>
      <c r="G1" s="1368"/>
      <c r="H1" s="1368"/>
      <c r="I1" s="1368"/>
      <c r="J1" s="1368"/>
      <c r="L1" s="120"/>
    </row>
    <row r="2" spans="1:19" s="609" customFormat="1" ht="15" thickBot="1">
      <c r="A2" s="604"/>
      <c r="B2" s="605" t="s">
        <v>499</v>
      </c>
      <c r="C2" s="606"/>
      <c r="D2" s="606"/>
      <c r="E2" s="606"/>
      <c r="F2" s="606"/>
      <c r="G2" s="607"/>
      <c r="H2" s="608"/>
      <c r="I2" s="608"/>
      <c r="J2" s="608"/>
      <c r="K2" s="608"/>
    </row>
    <row r="3" spans="1:19" s="614" customFormat="1" ht="15" customHeight="1">
      <c r="A3" s="1757" t="s">
        <v>24</v>
      </c>
      <c r="B3" s="610" t="s">
        <v>46</v>
      </c>
      <c r="C3" s="1759" t="s">
        <v>39</v>
      </c>
      <c r="D3" s="611"/>
      <c r="E3" s="1759" t="s">
        <v>17</v>
      </c>
      <c r="F3" s="611" t="s">
        <v>98</v>
      </c>
      <c r="G3" s="1826" t="s">
        <v>335</v>
      </c>
      <c r="H3" s="1827"/>
      <c r="I3" s="1828"/>
      <c r="J3" s="1762" t="s">
        <v>351</v>
      </c>
      <c r="K3" s="1826" t="s">
        <v>496</v>
      </c>
      <c r="L3" s="1827"/>
      <c r="M3" s="1828"/>
      <c r="N3" s="1826" t="s">
        <v>355</v>
      </c>
      <c r="O3" s="1827"/>
      <c r="P3" s="1828"/>
      <c r="Q3" s="1826" t="s">
        <v>356</v>
      </c>
      <c r="R3" s="1827"/>
      <c r="S3" s="1829"/>
    </row>
    <row r="4" spans="1:19" s="614" customFormat="1" ht="28.5">
      <c r="A4" s="1758"/>
      <c r="B4" s="615"/>
      <c r="C4" s="1760"/>
      <c r="D4" s="616"/>
      <c r="E4" s="1760"/>
      <c r="F4" s="616" t="s">
        <v>25</v>
      </c>
      <c r="G4" s="692" t="s">
        <v>359</v>
      </c>
      <c r="H4" s="692" t="s">
        <v>358</v>
      </c>
      <c r="I4" s="692" t="s">
        <v>357</v>
      </c>
      <c r="J4" s="1763"/>
      <c r="K4" s="692" t="s">
        <v>359</v>
      </c>
      <c r="L4" s="692" t="s">
        <v>358</v>
      </c>
      <c r="M4" s="692" t="s">
        <v>357</v>
      </c>
      <c r="N4" s="692" t="s">
        <v>359</v>
      </c>
      <c r="O4" s="692" t="s">
        <v>358</v>
      </c>
      <c r="P4" s="692" t="s">
        <v>357</v>
      </c>
      <c r="Q4" s="693" t="s">
        <v>359</v>
      </c>
      <c r="R4" s="618" t="s">
        <v>358</v>
      </c>
      <c r="S4" s="694" t="s">
        <v>357</v>
      </c>
    </row>
    <row r="5" spans="1:19" s="534" customFormat="1" ht="28.15" customHeight="1">
      <c r="A5" s="695" t="str">
        <f>L_CViec!A93</f>
        <v>II</v>
      </c>
      <c r="B5" s="1773" t="str">
        <f>L_CViec!B93</f>
        <v>Đăng ký, cấp Giấy chứng nhận lần đầu đơn lẻ đối với hộ gia đình, cá nhân, cộng đồng dân cư, tổ chức trong nước, người gốc Việt Nam định cư ở nước ngoài tại địa bàn cấp xã, phường</v>
      </c>
      <c r="C5" s="1774"/>
      <c r="D5" s="1774"/>
      <c r="E5" s="696" t="s">
        <v>340</v>
      </c>
      <c r="F5" s="697"/>
      <c r="G5" s="697"/>
      <c r="H5" s="697"/>
      <c r="I5" s="697"/>
      <c r="J5" s="698"/>
      <c r="K5" s="699"/>
      <c r="L5" s="699"/>
      <c r="M5" s="699"/>
      <c r="N5" s="699"/>
      <c r="O5" s="699"/>
      <c r="P5" s="699"/>
      <c r="Q5" s="699"/>
      <c r="R5" s="699"/>
      <c r="S5" s="700"/>
    </row>
    <row r="6" spans="1:19" s="534" customFormat="1" ht="14.25">
      <c r="A6" s="1742" t="str">
        <f>L_CViec!A94</f>
        <v>II.1</v>
      </c>
      <c r="B6" s="1743" t="str">
        <f>L_CViec!B94</f>
        <v>CÁC NỘI DUNG THỰC HIỆN TẠI ĐỊA BÀN CẤP XÃ, PHƯỜNG</v>
      </c>
      <c r="C6" s="1754"/>
      <c r="D6" s="624"/>
      <c r="E6" s="625" t="s">
        <v>353</v>
      </c>
      <c r="F6" s="1744">
        <v>1</v>
      </c>
      <c r="G6" s="682"/>
      <c r="H6" s="682"/>
      <c r="I6" s="701"/>
      <c r="J6" s="627"/>
      <c r="K6" s="627" t="e">
        <f>SUM(K$17,K$19,K$20,K21,K$32,K$34,K$35,K$37,K$39,K$40,K$41)</f>
        <v>#REF!</v>
      </c>
      <c r="L6" s="627" t="e">
        <f t="shared" ref="L6:S14" si="0">SUM(L$17,L$19,L$20,L21,L$32,L$34,L$35,L$37,L$39,L$40,L$41)</f>
        <v>#REF!</v>
      </c>
      <c r="M6" s="627" t="e">
        <f t="shared" si="0"/>
        <v>#REF!</v>
      </c>
      <c r="N6" s="627" t="e">
        <f t="shared" si="0"/>
        <v>#REF!</v>
      </c>
      <c r="O6" s="627" t="e">
        <f t="shared" si="0"/>
        <v>#REF!</v>
      </c>
      <c r="P6" s="627" t="e">
        <f t="shared" si="0"/>
        <v>#REF!</v>
      </c>
      <c r="Q6" s="627" t="e">
        <f t="shared" si="0"/>
        <v>#REF!</v>
      </c>
      <c r="R6" s="627" t="e">
        <f t="shared" si="0"/>
        <v>#REF!</v>
      </c>
      <c r="S6" s="533" t="e">
        <f t="shared" si="0"/>
        <v>#REF!</v>
      </c>
    </row>
    <row r="7" spans="1:19" s="534" customFormat="1" ht="15" customHeight="1">
      <c r="A7" s="1742"/>
      <c r="B7" s="1743"/>
      <c r="C7" s="1754"/>
      <c r="D7" s="624"/>
      <c r="E7" s="628" t="s">
        <v>202</v>
      </c>
      <c r="F7" s="1745"/>
      <c r="G7" s="629"/>
      <c r="H7" s="629"/>
      <c r="I7" s="702"/>
      <c r="J7" s="630"/>
      <c r="K7" s="630">
        <f t="shared" ref="K7:S7" si="1">K22</f>
        <v>127346.15384615384</v>
      </c>
      <c r="L7" s="630">
        <f t="shared" si="1"/>
        <v>127346.15384615384</v>
      </c>
      <c r="M7" s="630">
        <f t="shared" si="1"/>
        <v>165550.00000000003</v>
      </c>
      <c r="N7" s="630">
        <f t="shared" si="1"/>
        <v>0</v>
      </c>
      <c r="O7" s="703">
        <f t="shared" si="1"/>
        <v>0</v>
      </c>
      <c r="P7" s="703">
        <f t="shared" si="1"/>
        <v>0</v>
      </c>
      <c r="Q7" s="537">
        <f t="shared" si="1"/>
        <v>0</v>
      </c>
      <c r="R7" s="537">
        <f t="shared" si="1"/>
        <v>0</v>
      </c>
      <c r="S7" s="538">
        <f t="shared" si="1"/>
        <v>0</v>
      </c>
    </row>
    <row r="8" spans="1:19" s="534" customFormat="1" ht="15" customHeight="1">
      <c r="A8" s="1742"/>
      <c r="B8" s="1743"/>
      <c r="C8" s="1754"/>
      <c r="D8" s="624"/>
      <c r="E8" s="628" t="s">
        <v>353</v>
      </c>
      <c r="F8" s="1746">
        <v>2</v>
      </c>
      <c r="G8" s="629"/>
      <c r="H8" s="629"/>
      <c r="I8" s="629"/>
      <c r="J8" s="630"/>
      <c r="K8" s="627" t="e">
        <f>SUM(K$17,K$19,K$20,K23,K$32,K$34,K$35,K$37,K$39,K$40,K$41)</f>
        <v>#REF!</v>
      </c>
      <c r="L8" s="627" t="e">
        <f t="shared" si="0"/>
        <v>#REF!</v>
      </c>
      <c r="M8" s="627" t="e">
        <f t="shared" si="0"/>
        <v>#REF!</v>
      </c>
      <c r="N8" s="627" t="e">
        <f t="shared" si="0"/>
        <v>#REF!</v>
      </c>
      <c r="O8" s="627" t="e">
        <f t="shared" si="0"/>
        <v>#REF!</v>
      </c>
      <c r="P8" s="627" t="e">
        <f t="shared" si="0"/>
        <v>#REF!</v>
      </c>
      <c r="Q8" s="627" t="e">
        <f t="shared" si="0"/>
        <v>#REF!</v>
      </c>
      <c r="R8" s="627" t="e">
        <f t="shared" si="0"/>
        <v>#REF!</v>
      </c>
      <c r="S8" s="533" t="e">
        <f t="shared" si="0"/>
        <v>#REF!</v>
      </c>
    </row>
    <row r="9" spans="1:19" s="534" customFormat="1" ht="15" customHeight="1">
      <c r="A9" s="1742"/>
      <c r="B9" s="1743"/>
      <c r="C9" s="1754"/>
      <c r="D9" s="624"/>
      <c r="E9" s="628" t="s">
        <v>202</v>
      </c>
      <c r="F9" s="1745"/>
      <c r="G9" s="629"/>
      <c r="H9" s="629"/>
      <c r="I9" s="629"/>
      <c r="J9" s="630"/>
      <c r="K9" s="630">
        <f t="shared" ref="K9:S9" si="2">K24</f>
        <v>140080.76923076925</v>
      </c>
      <c r="L9" s="630">
        <f t="shared" si="2"/>
        <v>140080.76923076925</v>
      </c>
      <c r="M9" s="630">
        <f t="shared" si="2"/>
        <v>182105</v>
      </c>
      <c r="N9" s="630">
        <f t="shared" si="2"/>
        <v>0</v>
      </c>
      <c r="O9" s="703">
        <f t="shared" si="2"/>
        <v>0</v>
      </c>
      <c r="P9" s="703">
        <f t="shared" si="2"/>
        <v>0</v>
      </c>
      <c r="Q9" s="537">
        <f t="shared" si="2"/>
        <v>0</v>
      </c>
      <c r="R9" s="537">
        <f t="shared" si="2"/>
        <v>0</v>
      </c>
      <c r="S9" s="538">
        <f t="shared" si="2"/>
        <v>0</v>
      </c>
    </row>
    <row r="10" spans="1:19" s="534" customFormat="1" ht="15" customHeight="1">
      <c r="A10" s="1742"/>
      <c r="B10" s="1743"/>
      <c r="C10" s="1754"/>
      <c r="D10" s="624"/>
      <c r="E10" s="628" t="s">
        <v>353</v>
      </c>
      <c r="F10" s="1746">
        <v>3</v>
      </c>
      <c r="G10" s="629"/>
      <c r="H10" s="629"/>
      <c r="I10" s="629"/>
      <c r="J10" s="630"/>
      <c r="K10" s="627" t="e">
        <f>SUM(K$17,K$19,K$20,K25,K$32,K$34,K$35,K$37,K$39,K$40,K$41)</f>
        <v>#REF!</v>
      </c>
      <c r="L10" s="627" t="e">
        <f t="shared" si="0"/>
        <v>#REF!</v>
      </c>
      <c r="M10" s="627" t="e">
        <f t="shared" si="0"/>
        <v>#REF!</v>
      </c>
      <c r="N10" s="627" t="e">
        <f t="shared" si="0"/>
        <v>#REF!</v>
      </c>
      <c r="O10" s="627" t="e">
        <f t="shared" si="0"/>
        <v>#REF!</v>
      </c>
      <c r="P10" s="627" t="e">
        <f t="shared" si="0"/>
        <v>#REF!</v>
      </c>
      <c r="Q10" s="627" t="e">
        <f t="shared" si="0"/>
        <v>#REF!</v>
      </c>
      <c r="R10" s="627" t="e">
        <f t="shared" si="0"/>
        <v>#REF!</v>
      </c>
      <c r="S10" s="533" t="e">
        <f t="shared" si="0"/>
        <v>#REF!</v>
      </c>
    </row>
    <row r="11" spans="1:19" s="534" customFormat="1" ht="15" customHeight="1">
      <c r="A11" s="1742"/>
      <c r="B11" s="1743"/>
      <c r="C11" s="1754"/>
      <c r="D11" s="624"/>
      <c r="E11" s="628" t="s">
        <v>202</v>
      </c>
      <c r="F11" s="1745"/>
      <c r="G11" s="629"/>
      <c r="H11" s="629"/>
      <c r="I11" s="629"/>
      <c r="J11" s="630"/>
      <c r="K11" s="630">
        <f t="shared" ref="K11:S11" si="3">K26</f>
        <v>154088.84615384616</v>
      </c>
      <c r="L11" s="630">
        <f t="shared" si="3"/>
        <v>154088.84615384616</v>
      </c>
      <c r="M11" s="630">
        <f t="shared" si="3"/>
        <v>200297.30769230772</v>
      </c>
      <c r="N11" s="630">
        <f t="shared" si="3"/>
        <v>0</v>
      </c>
      <c r="O11" s="703">
        <f t="shared" si="3"/>
        <v>0</v>
      </c>
      <c r="P11" s="703">
        <f t="shared" si="3"/>
        <v>0</v>
      </c>
      <c r="Q11" s="537">
        <f t="shared" si="3"/>
        <v>0</v>
      </c>
      <c r="R11" s="537">
        <f t="shared" si="3"/>
        <v>0</v>
      </c>
      <c r="S11" s="538">
        <f t="shared" si="3"/>
        <v>0</v>
      </c>
    </row>
    <row r="12" spans="1:19" s="534" customFormat="1" ht="15" customHeight="1">
      <c r="A12" s="1742"/>
      <c r="B12" s="1743"/>
      <c r="C12" s="1754"/>
      <c r="D12" s="624"/>
      <c r="E12" s="628" t="s">
        <v>353</v>
      </c>
      <c r="F12" s="1746">
        <v>4</v>
      </c>
      <c r="G12" s="629"/>
      <c r="H12" s="629"/>
      <c r="I12" s="629"/>
      <c r="J12" s="630"/>
      <c r="K12" s="627" t="e">
        <f>SUM(K$17,K$19,K$20,K27,K$32,K$34,K$35,K$37,K$39,K$40,K$41)</f>
        <v>#REF!</v>
      </c>
      <c r="L12" s="627" t="e">
        <f t="shared" si="0"/>
        <v>#REF!</v>
      </c>
      <c r="M12" s="627" t="e">
        <f t="shared" si="0"/>
        <v>#REF!</v>
      </c>
      <c r="N12" s="627" t="e">
        <f t="shared" si="0"/>
        <v>#REF!</v>
      </c>
      <c r="O12" s="627" t="e">
        <f t="shared" si="0"/>
        <v>#REF!</v>
      </c>
      <c r="P12" s="627" t="e">
        <f t="shared" si="0"/>
        <v>#REF!</v>
      </c>
      <c r="Q12" s="627" t="e">
        <f t="shared" si="0"/>
        <v>#REF!</v>
      </c>
      <c r="R12" s="627" t="e">
        <f t="shared" si="0"/>
        <v>#REF!</v>
      </c>
      <c r="S12" s="533" t="e">
        <f t="shared" si="0"/>
        <v>#REF!</v>
      </c>
    </row>
    <row r="13" spans="1:19" s="534" customFormat="1" ht="15" customHeight="1">
      <c r="A13" s="1742"/>
      <c r="B13" s="1743"/>
      <c r="C13" s="1754"/>
      <c r="D13" s="624"/>
      <c r="E13" s="628" t="s">
        <v>202</v>
      </c>
      <c r="F13" s="1745"/>
      <c r="G13" s="629"/>
      <c r="H13" s="629"/>
      <c r="I13" s="629"/>
      <c r="J13" s="630"/>
      <c r="K13" s="630" t="e">
        <f t="shared" ref="K13:S13" si="4">K28</f>
        <v>#REF!</v>
      </c>
      <c r="L13" s="630" t="e">
        <f t="shared" si="4"/>
        <v>#REF!</v>
      </c>
      <c r="M13" s="630" t="e">
        <f t="shared" si="4"/>
        <v>#REF!</v>
      </c>
      <c r="N13" s="630">
        <f t="shared" si="4"/>
        <v>0</v>
      </c>
      <c r="O13" s="703">
        <f t="shared" si="4"/>
        <v>0</v>
      </c>
      <c r="P13" s="703">
        <f t="shared" si="4"/>
        <v>0</v>
      </c>
      <c r="Q13" s="537">
        <f t="shared" si="4"/>
        <v>0</v>
      </c>
      <c r="R13" s="537">
        <f t="shared" si="4"/>
        <v>0</v>
      </c>
      <c r="S13" s="538">
        <f t="shared" si="4"/>
        <v>0</v>
      </c>
    </row>
    <row r="14" spans="1:19" s="534" customFormat="1" ht="15" customHeight="1">
      <c r="A14" s="1742"/>
      <c r="B14" s="1743"/>
      <c r="C14" s="1754"/>
      <c r="D14" s="624"/>
      <c r="E14" s="628" t="s">
        <v>353</v>
      </c>
      <c r="F14" s="1746">
        <v>5</v>
      </c>
      <c r="G14" s="629"/>
      <c r="H14" s="629"/>
      <c r="I14" s="629"/>
      <c r="J14" s="630"/>
      <c r="K14" s="627" t="e">
        <f>SUM(K$17,K$19,K$20,K29,K$32,K$34,K$35,K$37,K$39,K$40,K$41)</f>
        <v>#REF!</v>
      </c>
      <c r="L14" s="627" t="e">
        <f t="shared" si="0"/>
        <v>#REF!</v>
      </c>
      <c r="M14" s="627" t="e">
        <f t="shared" si="0"/>
        <v>#REF!</v>
      </c>
      <c r="N14" s="627" t="e">
        <f t="shared" si="0"/>
        <v>#REF!</v>
      </c>
      <c r="O14" s="627" t="e">
        <f t="shared" si="0"/>
        <v>#REF!</v>
      </c>
      <c r="P14" s="627" t="e">
        <f t="shared" si="0"/>
        <v>#REF!</v>
      </c>
      <c r="Q14" s="627" t="e">
        <f t="shared" si="0"/>
        <v>#REF!</v>
      </c>
      <c r="R14" s="627" t="e">
        <f t="shared" si="0"/>
        <v>#REF!</v>
      </c>
      <c r="S14" s="533" t="e">
        <f t="shared" si="0"/>
        <v>#REF!</v>
      </c>
    </row>
    <row r="15" spans="1:19" s="534" customFormat="1" ht="15" customHeight="1">
      <c r="A15" s="1753"/>
      <c r="B15" s="1755"/>
      <c r="C15" s="1756"/>
      <c r="D15" s="631"/>
      <c r="E15" s="628" t="s">
        <v>202</v>
      </c>
      <c r="F15" s="1745"/>
      <c r="G15" s="629"/>
      <c r="H15" s="629"/>
      <c r="I15" s="629"/>
      <c r="J15" s="630"/>
      <c r="K15" s="630" t="e">
        <f t="shared" ref="K15:S15" si="5">K30</f>
        <v>#REF!</v>
      </c>
      <c r="L15" s="630" t="e">
        <f t="shared" si="5"/>
        <v>#REF!</v>
      </c>
      <c r="M15" s="630" t="e">
        <f t="shared" si="5"/>
        <v>#REF!</v>
      </c>
      <c r="N15" s="630">
        <f t="shared" si="5"/>
        <v>0</v>
      </c>
      <c r="O15" s="703">
        <f t="shared" si="5"/>
        <v>0</v>
      </c>
      <c r="P15" s="703">
        <f t="shared" si="5"/>
        <v>0</v>
      </c>
      <c r="Q15" s="537">
        <f t="shared" si="5"/>
        <v>0</v>
      </c>
      <c r="R15" s="537">
        <f t="shared" si="5"/>
        <v>0</v>
      </c>
      <c r="S15" s="538">
        <f t="shared" si="5"/>
        <v>0</v>
      </c>
    </row>
    <row r="16" spans="1:19" s="552" customFormat="1" ht="15">
      <c r="A16" s="546" t="str">
        <f>L_CViec!A95</f>
        <v>1</v>
      </c>
      <c r="B16" s="559" t="str">
        <f>L_CViec!B95</f>
        <v>Hướng dẫn lập hồ sơ đề nghị đăng ký, cấp GCN</v>
      </c>
      <c r="C16" s="573">
        <f>L_CViec!AB95</f>
        <v>0</v>
      </c>
      <c r="D16" s="573"/>
      <c r="E16" s="573">
        <f>L_CViec!AC95</f>
        <v>0</v>
      </c>
      <c r="F16" s="573">
        <f>L_CViec!AD95</f>
        <v>0</v>
      </c>
      <c r="G16" s="573">
        <f>L_CViec!AE95</f>
        <v>0</v>
      </c>
      <c r="H16" s="550">
        <f>L_CViec!AF95</f>
        <v>0</v>
      </c>
      <c r="I16" s="704"/>
      <c r="J16" s="550">
        <f>L_CViec!AH95</f>
        <v>0</v>
      </c>
      <c r="K16" s="705"/>
      <c r="L16" s="705"/>
      <c r="M16" s="705"/>
      <c r="N16" s="705"/>
      <c r="O16" s="705"/>
      <c r="P16" s="705"/>
      <c r="Q16" s="550"/>
      <c r="R16" s="550"/>
      <c r="S16" s="551"/>
    </row>
    <row r="17" spans="1:19" s="558" customFormat="1" ht="20.100000000000001" customHeight="1">
      <c r="A17" s="553" t="str">
        <f>L_CViec!A96</f>
        <v>1.1</v>
      </c>
      <c r="B17" s="574" t="str">
        <f>L_CViec!B96</f>
        <v>Theo hình thức trực tiếp</v>
      </c>
      <c r="C17" s="555" t="str">
        <f>L_CViec!AB96</f>
        <v>Hồ sơ</v>
      </c>
      <c r="D17" s="555">
        <f>L_CViec!AA96</f>
        <v>1</v>
      </c>
      <c r="E17" s="555" t="str">
        <f>L_CViec!AC96</f>
        <v>1KS2</v>
      </c>
      <c r="F17" s="555" t="str">
        <f>L_CViec!AD96</f>
        <v>1-3</v>
      </c>
      <c r="G17" s="555">
        <f>L_CViec!AE96</f>
        <v>0.2</v>
      </c>
      <c r="H17" s="706">
        <f>L_CViec!AF96</f>
        <v>0.2</v>
      </c>
      <c r="I17" s="706">
        <f>L_CViec!AG96</f>
        <v>0.26</v>
      </c>
      <c r="J17" s="556">
        <f>L_CViec!AH96</f>
        <v>296770.5</v>
      </c>
      <c r="K17" s="707">
        <f>G17*$J17*L_CBac!$G$68</f>
        <v>68257.214999999997</v>
      </c>
      <c r="L17" s="707">
        <f>H17*$J17*L_CBac!$G$68</f>
        <v>68257.214999999997</v>
      </c>
      <c r="M17" s="707">
        <f>I17*$J17*L_CBac!$G$68</f>
        <v>88734.379499999995</v>
      </c>
      <c r="N17" s="707">
        <f>$D17*G17*L_CBac!$J$68</f>
        <v>5112.9000000000005</v>
      </c>
      <c r="O17" s="707">
        <f>$D17*H17*L_CBac!$J$68</f>
        <v>5112.9000000000005</v>
      </c>
      <c r="P17" s="707">
        <f>$D17*I17*L_CBac!$J$68</f>
        <v>6646.77</v>
      </c>
      <c r="Q17" s="556">
        <f>$D17*G17*L_CBac!$J$69</f>
        <v>5615.3846153846162</v>
      </c>
      <c r="R17" s="556">
        <f>$D17*H17*L_CBac!$J$69</f>
        <v>5615.3846153846162</v>
      </c>
      <c r="S17" s="557">
        <f>$D17*I17*L_CBac!$J$69</f>
        <v>7300.0000000000009</v>
      </c>
    </row>
    <row r="18" spans="1:19" s="558" customFormat="1" ht="20.100000000000001" customHeight="1">
      <c r="A18" s="553" t="str">
        <f>L_CViec!A97</f>
        <v>1.2</v>
      </c>
      <c r="B18" s="574" t="str">
        <f>L_CViec!B97</f>
        <v>Theo hình thức trực tuyến</v>
      </c>
      <c r="C18" s="555" t="str">
        <f>L_CViec!AB97</f>
        <v>Hồ sơ</v>
      </c>
      <c r="D18" s="555">
        <f>L_CViec!AA97</f>
        <v>1</v>
      </c>
      <c r="E18" s="555" t="str">
        <f>L_CViec!AC97</f>
        <v>1KS2</v>
      </c>
      <c r="F18" s="555" t="str">
        <f>L_CViec!AD97</f>
        <v>1-3</v>
      </c>
      <c r="G18" s="555">
        <f>L_CViec!AE97</f>
        <v>0.15</v>
      </c>
      <c r="H18" s="706">
        <f>L_CViec!AF97</f>
        <v>0.15</v>
      </c>
      <c r="I18" s="706">
        <f>L_CViec!AG97</f>
        <v>0.19</v>
      </c>
      <c r="J18" s="556">
        <f>L_CViec!AH97</f>
        <v>296770.5</v>
      </c>
      <c r="K18" s="707">
        <f>G18*$J18*L_CBac!$G$68</f>
        <v>51192.91124999999</v>
      </c>
      <c r="L18" s="707">
        <f>H18*$J18*L_CBac!$G$68</f>
        <v>51192.91124999999</v>
      </c>
      <c r="M18" s="707">
        <f>I18*$J18*L_CBac!$G$68</f>
        <v>64844.354249999997</v>
      </c>
      <c r="N18" s="707">
        <f>$D18*G18*L_CBac!$J$68</f>
        <v>3834.6749999999997</v>
      </c>
      <c r="O18" s="707">
        <f>$D18*H18*L_CBac!$J$68</f>
        <v>3834.6749999999997</v>
      </c>
      <c r="P18" s="707">
        <f>$D18*I18*L_CBac!$J$68</f>
        <v>4857.2550000000001</v>
      </c>
      <c r="Q18" s="556">
        <f>$D18*G18*L_CBac!$J$69</f>
        <v>4211.5384615384619</v>
      </c>
      <c r="R18" s="556">
        <f>$D18*H18*L_CBac!$J$69</f>
        <v>4211.5384615384619</v>
      </c>
      <c r="S18" s="557">
        <f>$D18*I18*L_CBac!$J$69</f>
        <v>5334.6153846153848</v>
      </c>
    </row>
    <row r="19" spans="1:19" s="552" customFormat="1" ht="60">
      <c r="A19" s="546" t="str">
        <f>L_CViec!A98</f>
        <v>2</v>
      </c>
      <c r="B19" s="559" t="str">
        <f>L_CViec!B98</f>
        <v>Nhận, kiểm tra tính đầy đủ, hợp lệ và viết giấy biên nhận hoặc trả lại hồ sơ, vào sổ theo dõi nhận, trả hồ sơ (theo hình thức trực tiếp, trực tuyến)</v>
      </c>
      <c r="C19" s="548" t="str">
        <f>L_CViec!AB98</f>
        <v>Hồ sơ</v>
      </c>
      <c r="D19" s="548">
        <f>L_CViec!AA98</f>
        <v>1</v>
      </c>
      <c r="E19" s="548" t="str">
        <f>L_CViec!AC98</f>
        <v>1KS2</v>
      </c>
      <c r="F19" s="548" t="str">
        <f>L_CViec!AD98</f>
        <v>1-3</v>
      </c>
      <c r="G19" s="548">
        <f>L_CViec!AE98</f>
        <v>0.1</v>
      </c>
      <c r="H19" s="704">
        <f>L_CViec!AF98</f>
        <v>0.1</v>
      </c>
      <c r="I19" s="704">
        <f>L_CViec!AG98</f>
        <v>1.1299999999999999</v>
      </c>
      <c r="J19" s="550">
        <f>L_CViec!AH98</f>
        <v>296770.5</v>
      </c>
      <c r="K19" s="705">
        <f>G19*$J19*L_CBac!$G$68</f>
        <v>34128.607499999998</v>
      </c>
      <c r="L19" s="705">
        <f>H19*$J19*L_CBac!$G$68</f>
        <v>34128.607499999998</v>
      </c>
      <c r="M19" s="705">
        <f>I19*$J19*L_CBac!$G$68</f>
        <v>385653.26474999997</v>
      </c>
      <c r="N19" s="705">
        <f>$D19*G19*L_CBac!$J$68</f>
        <v>2556.4500000000003</v>
      </c>
      <c r="O19" s="705">
        <f>$D19*H19*L_CBac!$J$68</f>
        <v>2556.4500000000003</v>
      </c>
      <c r="P19" s="705">
        <f>$D19*I19*L_CBac!$J$68</f>
        <v>28887.884999999998</v>
      </c>
      <c r="Q19" s="550">
        <f>$D19*G19*L_CBac!$J$69</f>
        <v>2807.6923076923081</v>
      </c>
      <c r="R19" s="550">
        <f>$D19*H19*L_CBac!$J$69</f>
        <v>2807.6923076923081</v>
      </c>
      <c r="S19" s="551">
        <f>$D19*I19*L_CBac!$J$69</f>
        <v>31726.923076923074</v>
      </c>
    </row>
    <row r="20" spans="1:19" s="552" customFormat="1" ht="30">
      <c r="A20" s="546" t="str">
        <f>L_CViec!A99</f>
        <v>3</v>
      </c>
      <c r="B20" s="559" t="str">
        <f>L_CViec!B99</f>
        <v>Tạo tệp (File) dữ liệu hồ sơ số và nhập thông tin do người sử dụng đất kê khai, đăng ký</v>
      </c>
      <c r="C20" s="548" t="str">
        <f>L_CViec!AB99</f>
        <v>Thửa</v>
      </c>
      <c r="D20" s="548">
        <f>L_CViec!AA99</f>
        <v>1</v>
      </c>
      <c r="E20" s="548" t="str">
        <f>L_CViec!AC99</f>
        <v>1KS3</v>
      </c>
      <c r="F20" s="548" t="str">
        <f>L_CViec!AD99</f>
        <v>1-3</v>
      </c>
      <c r="G20" s="548">
        <f>L_CViec!AE99</f>
        <v>0.107</v>
      </c>
      <c r="H20" s="704">
        <f>L_CViec!AF99</f>
        <v>0.107</v>
      </c>
      <c r="I20" s="704">
        <f>L_CViec!AG99</f>
        <v>0.16700000000000001</v>
      </c>
      <c r="J20" s="550">
        <f>L_CViec!AH99</f>
        <v>333450</v>
      </c>
      <c r="K20" s="705">
        <f>G20*$J20*L_CBac!$G$68</f>
        <v>41031.022499999999</v>
      </c>
      <c r="L20" s="705">
        <f>H20*$J20*L_CBac!$G$68</f>
        <v>41031.022499999999</v>
      </c>
      <c r="M20" s="705">
        <f>I20*$J20*L_CBac!$G$68</f>
        <v>64039.072499999995</v>
      </c>
      <c r="N20" s="705">
        <f>$D20*G20*L_CBac!$J$68</f>
        <v>2735.4014999999999</v>
      </c>
      <c r="O20" s="705">
        <f>$D20*H20*L_CBac!$J$68</f>
        <v>2735.4014999999999</v>
      </c>
      <c r="P20" s="705">
        <f>$D20*I20*L_CBac!$J$68</f>
        <v>4269.2714999999998</v>
      </c>
      <c r="Q20" s="550">
        <f>$D20*G20*L_CBac!$J$69</f>
        <v>3004.2307692307695</v>
      </c>
      <c r="R20" s="550">
        <f>$D20*H20*L_CBac!$J$69</f>
        <v>3004.2307692307695</v>
      </c>
      <c r="S20" s="551">
        <f>$D20*I20*L_CBac!$J$69</f>
        <v>4688.8461538461543</v>
      </c>
    </row>
    <row r="21" spans="1:19" s="552" customFormat="1" ht="75">
      <c r="A21" s="546" t="str">
        <f>L_CViec!A107</f>
        <v>7</v>
      </c>
      <c r="B21" s="559" t="str">
        <f>L_CViec!B107</f>
        <v>Xác nhận hiện trạng sử dụng đất có hay không có nhà ở, công trình xây dựng; tình trạng tranh chấp đất đai, tài sản gắn liền với đất; xác định đất sử dụng ổn định; xác định nguồn gốc sử dụng đất; xác nhận sự phù hợp với quy hoạch</v>
      </c>
      <c r="C21" s="548" t="str">
        <f>L_CViec!AB107</f>
        <v>Hồ sơ</v>
      </c>
      <c r="D21" s="548">
        <f>L_CViec!AA107</f>
        <v>2</v>
      </c>
      <c r="E21" s="548" t="str">
        <f>L_CViec!AC107</f>
        <v>1KS2,1KTV4</v>
      </c>
      <c r="F21" s="548">
        <f>L_CViec!AD107</f>
        <v>1</v>
      </c>
      <c r="G21" s="548">
        <f>L_CViec!AE107</f>
        <v>0.9</v>
      </c>
      <c r="H21" s="704">
        <f>L_CViec!AF107</f>
        <v>0.9</v>
      </c>
      <c r="I21" s="704">
        <f>L_CViec!AG107</f>
        <v>1.17</v>
      </c>
      <c r="J21" s="550">
        <f>L_CViec!AH107</f>
        <v>570199.5</v>
      </c>
      <c r="K21" s="705">
        <f>G21*$J21*L_CBac!$G$68</f>
        <v>590156.48249999993</v>
      </c>
      <c r="L21" s="705">
        <f>H21*$J21*L_CBac!$G$68</f>
        <v>590156.48249999993</v>
      </c>
      <c r="M21" s="705">
        <f>I21*$J21*L_CBac!$G$68</f>
        <v>767203.42724999983</v>
      </c>
      <c r="N21" s="705">
        <f>$D21*G21*L_CBac!$J$68</f>
        <v>46016.1</v>
      </c>
      <c r="O21" s="705">
        <f>$D21*H21*L_CBac!$J$68</f>
        <v>46016.1</v>
      </c>
      <c r="P21" s="705">
        <f>$D21*I21*L_CBac!$J$68</f>
        <v>59820.929999999993</v>
      </c>
      <c r="Q21" s="550">
        <f>$D21*G21*L_CBac!$J$69</f>
        <v>50538.461538461539</v>
      </c>
      <c r="R21" s="550">
        <f>$D21*H21*L_CBac!$J$69</f>
        <v>50538.461538461539</v>
      </c>
      <c r="S21" s="551">
        <f>$D21*I21*L_CBac!$J$69</f>
        <v>65700</v>
      </c>
    </row>
    <row r="22" spans="1:19" s="552" customFormat="1" ht="15">
      <c r="A22" s="546">
        <f>L_CViec!A108</f>
        <v>0</v>
      </c>
      <c r="B22" s="559">
        <f>L_CViec!B108</f>
        <v>0</v>
      </c>
      <c r="C22" s="548">
        <f>L_CViec!AB108</f>
        <v>0</v>
      </c>
      <c r="D22" s="548">
        <f>L_CViec!AA108</f>
        <v>1</v>
      </c>
      <c r="E22" s="548" t="str">
        <f>L_CViec!AC108</f>
        <v>LĐPT</v>
      </c>
      <c r="F22" s="548">
        <f>L_CViec!AD108</f>
        <v>0</v>
      </c>
      <c r="G22" s="548">
        <f>L_CViec!AE108</f>
        <v>0.7</v>
      </c>
      <c r="H22" s="704">
        <f>L_CViec!AF108</f>
        <v>0.7</v>
      </c>
      <c r="I22" s="704">
        <f>L_CViec!AG108</f>
        <v>0.91</v>
      </c>
      <c r="J22" s="550">
        <f>L_CViec!AH108</f>
        <v>181923.07692307694</v>
      </c>
      <c r="K22" s="705">
        <f>G22*$J22</f>
        <v>127346.15384615384</v>
      </c>
      <c r="L22" s="705">
        <f>H22*$J22</f>
        <v>127346.15384615384</v>
      </c>
      <c r="M22" s="705">
        <f>I22*$J22</f>
        <v>165550.00000000003</v>
      </c>
      <c r="N22" s="705"/>
      <c r="O22" s="705"/>
      <c r="P22" s="705"/>
      <c r="Q22" s="550"/>
      <c r="R22" s="550"/>
      <c r="S22" s="551"/>
    </row>
    <row r="23" spans="1:19" s="552" customFormat="1" ht="30">
      <c r="A23" s="546">
        <f>L_CViec!A109</f>
        <v>0</v>
      </c>
      <c r="B23" s="559">
        <f>L_CViec!B109</f>
        <v>0</v>
      </c>
      <c r="C23" s="548">
        <f>L_CViec!AB109</f>
        <v>0</v>
      </c>
      <c r="D23" s="548">
        <f>L_CViec!AA109</f>
        <v>2</v>
      </c>
      <c r="E23" s="548" t="str">
        <f>L_CViec!AC109</f>
        <v>1KS2,1KTV4</v>
      </c>
      <c r="F23" s="548">
        <f>L_CViec!AD109</f>
        <v>2</v>
      </c>
      <c r="G23" s="548">
        <f>L_CViec!AE109</f>
        <v>0.99</v>
      </c>
      <c r="H23" s="704">
        <f>L_CViec!AF109</f>
        <v>0.99</v>
      </c>
      <c r="I23" s="704">
        <f>L_CViec!AG109</f>
        <v>1.2869999999999999</v>
      </c>
      <c r="J23" s="550">
        <f>L_CViec!AH109</f>
        <v>570199.5</v>
      </c>
      <c r="K23" s="705">
        <f>G23*$J23*L_CBac!$G$68</f>
        <v>649172.13075000001</v>
      </c>
      <c r="L23" s="705">
        <f>H23*$J23*L_CBac!$G$68</f>
        <v>649172.13075000001</v>
      </c>
      <c r="M23" s="705">
        <f>I23*$J23*L_CBac!$G$68</f>
        <v>843923.76997499983</v>
      </c>
      <c r="N23" s="705">
        <f>$D23*G23*L_CBac!$J$68</f>
        <v>50617.71</v>
      </c>
      <c r="O23" s="705">
        <f>$D23*H23*L_CBac!$J$68</f>
        <v>50617.71</v>
      </c>
      <c r="P23" s="705">
        <f>$D23*I23*L_CBac!$J$68</f>
        <v>65803.023000000001</v>
      </c>
      <c r="Q23" s="550">
        <f>$D23*G23*L_CBac!$J$69</f>
        <v>55592.307692307695</v>
      </c>
      <c r="R23" s="550">
        <f>$D23*H23*L_CBac!$J$69</f>
        <v>55592.307692307695</v>
      </c>
      <c r="S23" s="551">
        <f>$D23*I23*L_CBac!$J$69</f>
        <v>72270</v>
      </c>
    </row>
    <row r="24" spans="1:19" s="552" customFormat="1" ht="15">
      <c r="A24" s="546">
        <f>L_CViec!A110</f>
        <v>0</v>
      </c>
      <c r="B24" s="559">
        <f>L_CViec!B110</f>
        <v>0</v>
      </c>
      <c r="C24" s="548">
        <f>L_CViec!AB110</f>
        <v>0</v>
      </c>
      <c r="D24" s="548">
        <f>L_CViec!AA110</f>
        <v>1</v>
      </c>
      <c r="E24" s="548" t="str">
        <f>L_CViec!AC110</f>
        <v>LĐPT</v>
      </c>
      <c r="F24" s="548">
        <f>L_CViec!AD110</f>
        <v>0</v>
      </c>
      <c r="G24" s="548">
        <f>L_CViec!AE110</f>
        <v>0.77</v>
      </c>
      <c r="H24" s="704">
        <f>L_CViec!AF110</f>
        <v>0.77</v>
      </c>
      <c r="I24" s="704">
        <f>L_CViec!AG110</f>
        <v>1.0009999999999999</v>
      </c>
      <c r="J24" s="550">
        <f>L_CViec!AH110</f>
        <v>181923.07692307694</v>
      </c>
      <c r="K24" s="705">
        <f>G24*$J24</f>
        <v>140080.76923076925</v>
      </c>
      <c r="L24" s="705">
        <f>H24*$J24</f>
        <v>140080.76923076925</v>
      </c>
      <c r="M24" s="705">
        <f>I24*$J24</f>
        <v>182105</v>
      </c>
      <c r="N24" s="705"/>
      <c r="O24" s="705"/>
      <c r="P24" s="705"/>
      <c r="Q24" s="550"/>
      <c r="R24" s="550"/>
      <c r="S24" s="551"/>
    </row>
    <row r="25" spans="1:19" s="552" customFormat="1" ht="30">
      <c r="A25" s="546">
        <f>L_CViec!A111</f>
        <v>0</v>
      </c>
      <c r="B25" s="573">
        <f>L_CViec!B111</f>
        <v>0</v>
      </c>
      <c r="C25" s="548">
        <f>L_CViec!AB111</f>
        <v>0</v>
      </c>
      <c r="D25" s="548">
        <f>L_CViec!AA111</f>
        <v>2</v>
      </c>
      <c r="E25" s="548" t="str">
        <f>L_CViec!AC111</f>
        <v>1KS2,1KTV4</v>
      </c>
      <c r="F25" s="548">
        <f>L_CViec!AD111</f>
        <v>3</v>
      </c>
      <c r="G25" s="548">
        <f>L_CViec!AE111</f>
        <v>1.089</v>
      </c>
      <c r="H25" s="704">
        <f>L_CViec!AF111</f>
        <v>1.089</v>
      </c>
      <c r="I25" s="704">
        <f>L_CViec!AG111</f>
        <v>1.4159999999999999</v>
      </c>
      <c r="J25" s="550">
        <f>L_CViec!AH111</f>
        <v>570199.5</v>
      </c>
      <c r="K25" s="705">
        <f>G25*$J25*L_CBac!$G$68</f>
        <v>714089.34382499987</v>
      </c>
      <c r="L25" s="705">
        <f>H25*$J25*L_CBac!$G$68</f>
        <v>714089.34382499987</v>
      </c>
      <c r="M25" s="705">
        <f>I25*$J25*L_CBac!$G$68</f>
        <v>928512.86579999991</v>
      </c>
      <c r="N25" s="705">
        <f>$D25*G25*L_CBac!$J$68</f>
        <v>55679.481</v>
      </c>
      <c r="O25" s="705">
        <f>$D25*H25*L_CBac!$J$68</f>
        <v>55679.481</v>
      </c>
      <c r="P25" s="705">
        <f>$D25*I25*L_CBac!$J$68</f>
        <v>72398.66399999999</v>
      </c>
      <c r="Q25" s="550">
        <f>$D25*G25*L_CBac!$J$69</f>
        <v>61151.538461538461</v>
      </c>
      <c r="R25" s="550">
        <f>$D25*H25*L_CBac!$J$69</f>
        <v>61151.538461538461</v>
      </c>
      <c r="S25" s="551">
        <f>$D25*I25*L_CBac!$J$69</f>
        <v>79513.846153846156</v>
      </c>
    </row>
    <row r="26" spans="1:19" s="552" customFormat="1" ht="15">
      <c r="A26" s="546">
        <f>L_CViec!A112</f>
        <v>0</v>
      </c>
      <c r="B26" s="573">
        <f>L_CViec!B112</f>
        <v>0</v>
      </c>
      <c r="C26" s="548">
        <f>L_CViec!AB112</f>
        <v>0</v>
      </c>
      <c r="D26" s="548">
        <f>L_CViec!AA112</f>
        <v>1</v>
      </c>
      <c r="E26" s="548" t="str">
        <f>L_CViec!AC112</f>
        <v>LĐPT</v>
      </c>
      <c r="F26" s="548">
        <f>L_CViec!AD112</f>
        <v>0</v>
      </c>
      <c r="G26" s="548">
        <f>L_CViec!AE112</f>
        <v>0.84699999999999998</v>
      </c>
      <c r="H26" s="704">
        <f>L_CViec!AF112</f>
        <v>0.84699999999999998</v>
      </c>
      <c r="I26" s="704">
        <f>L_CViec!AG112</f>
        <v>1.101</v>
      </c>
      <c r="J26" s="550">
        <f>L_CViec!AH112</f>
        <v>181923.07692307694</v>
      </c>
      <c r="K26" s="705">
        <f>G26*$J26</f>
        <v>154088.84615384616</v>
      </c>
      <c r="L26" s="705">
        <f>H26*$J26</f>
        <v>154088.84615384616</v>
      </c>
      <c r="M26" s="705">
        <f>I26*$J26</f>
        <v>200297.30769230772</v>
      </c>
      <c r="N26" s="705"/>
      <c r="O26" s="705"/>
      <c r="P26" s="705"/>
      <c r="Q26" s="550"/>
      <c r="R26" s="550"/>
      <c r="S26" s="551"/>
    </row>
    <row r="27" spans="1:19" s="552" customFormat="1" ht="15">
      <c r="A27" s="546" t="e">
        <f>L_CViec!#REF!</f>
        <v>#REF!</v>
      </c>
      <c r="B27" s="573" t="e">
        <f>L_CViec!#REF!</f>
        <v>#REF!</v>
      </c>
      <c r="C27" s="548" t="e">
        <f>L_CViec!#REF!</f>
        <v>#REF!</v>
      </c>
      <c r="D27" s="548" t="e">
        <f>L_CViec!#REF!</f>
        <v>#REF!</v>
      </c>
      <c r="E27" s="548" t="e">
        <f>L_CViec!#REF!</f>
        <v>#REF!</v>
      </c>
      <c r="F27" s="548" t="e">
        <f>L_CViec!#REF!</f>
        <v>#REF!</v>
      </c>
      <c r="G27" s="548" t="e">
        <f>L_CViec!#REF!</f>
        <v>#REF!</v>
      </c>
      <c r="H27" s="704" t="e">
        <f>L_CViec!#REF!</f>
        <v>#REF!</v>
      </c>
      <c r="I27" s="704" t="e">
        <f>L_CViec!#REF!</f>
        <v>#REF!</v>
      </c>
      <c r="J27" s="550" t="e">
        <f>L_CViec!#REF!</f>
        <v>#REF!</v>
      </c>
      <c r="K27" s="705" t="e">
        <f>G27*$J27*L_CBac!$G$68</f>
        <v>#REF!</v>
      </c>
      <c r="L27" s="705" t="e">
        <f>H27*$J27*L_CBac!$G$68</f>
        <v>#REF!</v>
      </c>
      <c r="M27" s="705" t="e">
        <f>I27*$J27*L_CBac!$G$68</f>
        <v>#REF!</v>
      </c>
      <c r="N27" s="705" t="e">
        <f>$D27*G27*L_CBac!$J$68</f>
        <v>#REF!</v>
      </c>
      <c r="O27" s="705" t="e">
        <f>$D27*H27*L_CBac!$J$68</f>
        <v>#REF!</v>
      </c>
      <c r="P27" s="705" t="e">
        <f>$D27*I27*L_CBac!$J$68</f>
        <v>#REF!</v>
      </c>
      <c r="Q27" s="550" t="e">
        <f>$D27*G27*L_CBac!$J$69</f>
        <v>#REF!</v>
      </c>
      <c r="R27" s="550" t="e">
        <f>$D27*H27*L_CBac!$J$69</f>
        <v>#REF!</v>
      </c>
      <c r="S27" s="551" t="e">
        <f>$D27*I27*L_CBac!$J$69</f>
        <v>#REF!</v>
      </c>
    </row>
    <row r="28" spans="1:19" s="552" customFormat="1" ht="15">
      <c r="A28" s="546" t="e">
        <f>L_CViec!#REF!</f>
        <v>#REF!</v>
      </c>
      <c r="B28" s="573" t="e">
        <f>L_CViec!#REF!</f>
        <v>#REF!</v>
      </c>
      <c r="C28" s="548" t="e">
        <f>L_CViec!#REF!</f>
        <v>#REF!</v>
      </c>
      <c r="D28" s="548" t="e">
        <f>L_CViec!#REF!</f>
        <v>#REF!</v>
      </c>
      <c r="E28" s="548" t="e">
        <f>L_CViec!#REF!</f>
        <v>#REF!</v>
      </c>
      <c r="F28" s="548" t="e">
        <f>L_CViec!#REF!</f>
        <v>#REF!</v>
      </c>
      <c r="G28" s="548" t="e">
        <f>L_CViec!#REF!</f>
        <v>#REF!</v>
      </c>
      <c r="H28" s="704" t="e">
        <f>L_CViec!#REF!</f>
        <v>#REF!</v>
      </c>
      <c r="I28" s="704" t="e">
        <f>L_CViec!#REF!</f>
        <v>#REF!</v>
      </c>
      <c r="J28" s="550" t="e">
        <f>L_CViec!#REF!</f>
        <v>#REF!</v>
      </c>
      <c r="K28" s="705" t="e">
        <f>G28*$J28</f>
        <v>#REF!</v>
      </c>
      <c r="L28" s="705" t="e">
        <f>H28*$J28</f>
        <v>#REF!</v>
      </c>
      <c r="M28" s="705" t="e">
        <f>I28*$J28</f>
        <v>#REF!</v>
      </c>
      <c r="N28" s="705"/>
      <c r="O28" s="705"/>
      <c r="P28" s="705"/>
      <c r="Q28" s="550"/>
      <c r="R28" s="550"/>
      <c r="S28" s="551"/>
    </row>
    <row r="29" spans="1:19" s="552" customFormat="1" ht="15">
      <c r="A29" s="546" t="e">
        <f>L_CViec!#REF!</f>
        <v>#REF!</v>
      </c>
      <c r="B29" s="573" t="e">
        <f>L_CViec!#REF!</f>
        <v>#REF!</v>
      </c>
      <c r="C29" s="548" t="e">
        <f>L_CViec!#REF!</f>
        <v>#REF!</v>
      </c>
      <c r="D29" s="548" t="e">
        <f>L_CViec!#REF!</f>
        <v>#REF!</v>
      </c>
      <c r="E29" s="548" t="e">
        <f>L_CViec!#REF!</f>
        <v>#REF!</v>
      </c>
      <c r="F29" s="548" t="e">
        <f>L_CViec!#REF!</f>
        <v>#REF!</v>
      </c>
      <c r="G29" s="548" t="e">
        <f>L_CViec!#REF!</f>
        <v>#REF!</v>
      </c>
      <c r="H29" s="704" t="e">
        <f>L_CViec!#REF!</f>
        <v>#REF!</v>
      </c>
      <c r="I29" s="704" t="e">
        <f>L_CViec!#REF!</f>
        <v>#REF!</v>
      </c>
      <c r="J29" s="550" t="e">
        <f>L_CViec!#REF!</f>
        <v>#REF!</v>
      </c>
      <c r="K29" s="705" t="e">
        <f>G29*$J29*L_CBac!$G$68</f>
        <v>#REF!</v>
      </c>
      <c r="L29" s="705" t="e">
        <f>H29*$J29*L_CBac!$G$68</f>
        <v>#REF!</v>
      </c>
      <c r="M29" s="705" t="e">
        <f>I29*$J29*L_CBac!$G$68</f>
        <v>#REF!</v>
      </c>
      <c r="N29" s="705" t="e">
        <f>$D29*G29*L_CBac!$J$68</f>
        <v>#REF!</v>
      </c>
      <c r="O29" s="705" t="e">
        <f>$D29*H29*L_CBac!$J$68</f>
        <v>#REF!</v>
      </c>
      <c r="P29" s="705" t="e">
        <f>$D29*I29*L_CBac!$J$68</f>
        <v>#REF!</v>
      </c>
      <c r="Q29" s="550" t="e">
        <f>$D29*G29*L_CBac!$J$69</f>
        <v>#REF!</v>
      </c>
      <c r="R29" s="550" t="e">
        <f>$D29*H29*L_CBac!$J$69</f>
        <v>#REF!</v>
      </c>
      <c r="S29" s="551" t="e">
        <f>$D29*I29*L_CBac!$J$69</f>
        <v>#REF!</v>
      </c>
    </row>
    <row r="30" spans="1:19" s="552" customFormat="1" ht="15">
      <c r="A30" s="546" t="e">
        <f>L_CViec!#REF!</f>
        <v>#REF!</v>
      </c>
      <c r="B30" s="559" t="e">
        <f>L_CViec!#REF!</f>
        <v>#REF!</v>
      </c>
      <c r="C30" s="548" t="e">
        <f>L_CViec!#REF!</f>
        <v>#REF!</v>
      </c>
      <c r="D30" s="548" t="e">
        <f>L_CViec!#REF!</f>
        <v>#REF!</v>
      </c>
      <c r="E30" s="548" t="e">
        <f>L_CViec!#REF!</f>
        <v>#REF!</v>
      </c>
      <c r="F30" s="548" t="e">
        <f>L_CViec!#REF!</f>
        <v>#REF!</v>
      </c>
      <c r="G30" s="548" t="e">
        <f>L_CViec!#REF!</f>
        <v>#REF!</v>
      </c>
      <c r="H30" s="704" t="e">
        <f>L_CViec!#REF!</f>
        <v>#REF!</v>
      </c>
      <c r="I30" s="704" t="e">
        <f>L_CViec!#REF!</f>
        <v>#REF!</v>
      </c>
      <c r="J30" s="550" t="e">
        <f>L_CViec!#REF!</f>
        <v>#REF!</v>
      </c>
      <c r="K30" s="705" t="e">
        <f>G30*$J30</f>
        <v>#REF!</v>
      </c>
      <c r="L30" s="705" t="e">
        <f>H30*$J30</f>
        <v>#REF!</v>
      </c>
      <c r="M30" s="705" t="e">
        <f>I30*$J30</f>
        <v>#REF!</v>
      </c>
      <c r="N30" s="705"/>
      <c r="O30" s="705"/>
      <c r="P30" s="705"/>
      <c r="Q30" s="550"/>
      <c r="R30" s="550"/>
      <c r="S30" s="551"/>
    </row>
    <row r="31" spans="1:19" s="552" customFormat="1" ht="30">
      <c r="A31" s="546">
        <f>L_CViec!A121</f>
        <v>11</v>
      </c>
      <c r="B31" s="559" t="str">
        <f>L_CViec!B121</f>
        <v>Nhận các ý kiến phản ánh; Xem xét giải quyết các ý kiến phản ánh về nội dung đã công khai</v>
      </c>
      <c r="C31" s="548">
        <f>L_CViec!AB121</f>
        <v>0</v>
      </c>
      <c r="D31" s="548">
        <f>L_CViec!AA121</f>
        <v>0</v>
      </c>
      <c r="E31" s="548">
        <f>L_CViec!AC121</f>
        <v>0</v>
      </c>
      <c r="F31" s="548">
        <f>L_CViec!AD121</f>
        <v>0</v>
      </c>
      <c r="G31" s="548">
        <f>L_CViec!AE121</f>
        <v>0</v>
      </c>
      <c r="H31" s="704">
        <f>L_CViec!AF121</f>
        <v>0</v>
      </c>
      <c r="I31" s="704">
        <f>L_CViec!AG121</f>
        <v>0</v>
      </c>
      <c r="J31" s="550">
        <f>L_CViec!AH121</f>
        <v>0</v>
      </c>
      <c r="K31" s="705"/>
      <c r="L31" s="705"/>
      <c r="M31" s="705"/>
      <c r="N31" s="705"/>
      <c r="O31" s="705"/>
      <c r="P31" s="705"/>
      <c r="Q31" s="550"/>
      <c r="R31" s="550"/>
      <c r="S31" s="551"/>
    </row>
    <row r="32" spans="1:19" s="558" customFormat="1" ht="20.100000000000001" customHeight="1">
      <c r="A32" s="553">
        <f>L_CViec!A122</f>
        <v>11.1</v>
      </c>
      <c r="B32" s="574" t="str">
        <f>L_CViec!B122</f>
        <v>Theo hình thức trực tiếp</v>
      </c>
      <c r="C32" s="555" t="str">
        <f>L_CViec!AB122</f>
        <v>Hồ sơ</v>
      </c>
      <c r="D32" s="555">
        <f>L_CViec!AA122</f>
        <v>1</v>
      </c>
      <c r="E32" s="555" t="str">
        <f>L_CViec!AC122</f>
        <v>1KS3</v>
      </c>
      <c r="F32" s="555" t="str">
        <f>L_CViec!AD122</f>
        <v>1-3</v>
      </c>
      <c r="G32" s="555">
        <f>L_CViec!AE122</f>
        <v>0.2</v>
      </c>
      <c r="H32" s="706">
        <f>L_CViec!AF122</f>
        <v>0.2</v>
      </c>
      <c r="I32" s="706">
        <f>L_CViec!AG122</f>
        <v>0.26</v>
      </c>
      <c r="J32" s="556">
        <f>L_CViec!AH122</f>
        <v>333450</v>
      </c>
      <c r="K32" s="707">
        <f>G32*$J32*L_CBac!$G$68</f>
        <v>76693.5</v>
      </c>
      <c r="L32" s="707">
        <f>H32*$J32*L_CBac!$G$68</f>
        <v>76693.5</v>
      </c>
      <c r="M32" s="707">
        <f>I32*$J32*L_CBac!$G$68</f>
        <v>99701.549999999988</v>
      </c>
      <c r="N32" s="707">
        <f>$D32*G32*L_CBac!$J$68</f>
        <v>5112.9000000000005</v>
      </c>
      <c r="O32" s="707">
        <f>$D32*H32*L_CBac!$J$68</f>
        <v>5112.9000000000005</v>
      </c>
      <c r="P32" s="707">
        <f>$D32*I32*L_CBac!$J$68</f>
        <v>6646.77</v>
      </c>
      <c r="Q32" s="556">
        <f>$D32*G32*L_CBac!$J$69</f>
        <v>5615.3846153846162</v>
      </c>
      <c r="R32" s="556">
        <f>$D32*H32*L_CBac!$J$69</f>
        <v>5615.3846153846162</v>
      </c>
      <c r="S32" s="557">
        <f>$D32*I32*L_CBac!$J$69</f>
        <v>7300.0000000000009</v>
      </c>
    </row>
    <row r="33" spans="1:19" s="558" customFormat="1" ht="20.100000000000001" customHeight="1">
      <c r="A33" s="553">
        <f>L_CViec!A123</f>
        <v>11.2</v>
      </c>
      <c r="B33" s="574" t="str">
        <f>L_CViec!B123</f>
        <v>Theo hình thức trực tuyến</v>
      </c>
      <c r="C33" s="555" t="str">
        <f>L_CViec!AB123</f>
        <v>Hồ sơ</v>
      </c>
      <c r="D33" s="555">
        <f>L_CViec!AA123</f>
        <v>1</v>
      </c>
      <c r="E33" s="555" t="str">
        <f>L_CViec!AC123</f>
        <v>1KS3</v>
      </c>
      <c r="F33" s="555" t="str">
        <f>L_CViec!AD123</f>
        <v>1-3</v>
      </c>
      <c r="G33" s="555">
        <f>L_CViec!AE123</f>
        <v>0.15</v>
      </c>
      <c r="H33" s="706">
        <f>L_CViec!AF123</f>
        <v>0.15</v>
      </c>
      <c r="I33" s="706">
        <f>L_CViec!AG123</f>
        <v>0.19500000000000001</v>
      </c>
      <c r="J33" s="556">
        <f>L_CViec!AH123</f>
        <v>333450</v>
      </c>
      <c r="K33" s="707">
        <f>G33*$J33*L_CBac!$G$68</f>
        <v>57520.124999999993</v>
      </c>
      <c r="L33" s="707">
        <f>H33*$J33*L_CBac!$G$68</f>
        <v>57520.124999999993</v>
      </c>
      <c r="M33" s="707">
        <f>I33*$J33*L_CBac!$G$68</f>
        <v>74776.162499999991</v>
      </c>
      <c r="N33" s="707">
        <f>$D33*G33*L_CBac!$J$68</f>
        <v>3834.6749999999997</v>
      </c>
      <c r="O33" s="707">
        <f>$D33*H33*L_CBac!$J$68</f>
        <v>3834.6749999999997</v>
      </c>
      <c r="P33" s="707">
        <f>$D33*I33*L_CBac!$J$68</f>
        <v>4985.0775000000003</v>
      </c>
      <c r="Q33" s="556">
        <f>$D33*G33*L_CBac!$J$69</f>
        <v>4211.5384615384619</v>
      </c>
      <c r="R33" s="556">
        <f>$D33*H33*L_CBac!$J$69</f>
        <v>4211.5384615384619</v>
      </c>
      <c r="S33" s="557">
        <f>$D33*I33*L_CBac!$J$69</f>
        <v>5475</v>
      </c>
    </row>
    <row r="34" spans="1:19" s="552" customFormat="1" ht="30">
      <c r="A34" s="546" t="str">
        <f>L_CViec!A124</f>
        <v>12</v>
      </c>
      <c r="B34" s="559" t="str">
        <f>L_CViec!B124</f>
        <v>Kiểm tra việc đủ điều kiện hay không đủ điều kiện được cấp Giấy chứng nhận</v>
      </c>
      <c r="C34" s="548" t="str">
        <f>L_CViec!AB124</f>
        <v>Hồ sơ</v>
      </c>
      <c r="D34" s="548">
        <f>L_CViec!AA124</f>
        <v>1</v>
      </c>
      <c r="E34" s="548" t="str">
        <f>L_CViec!AC124</f>
        <v>1KS3</v>
      </c>
      <c r="F34" s="548" t="str">
        <f>L_CViec!AD124</f>
        <v>1-3</v>
      </c>
      <c r="G34" s="548">
        <f>L_CViec!AE124</f>
        <v>0.5</v>
      </c>
      <c r="H34" s="704">
        <f>L_CViec!AF124</f>
        <v>0.5</v>
      </c>
      <c r="I34" s="704">
        <f>L_CViec!AG124</f>
        <v>0.65</v>
      </c>
      <c r="J34" s="550">
        <f>L_CViec!AH124</f>
        <v>333450</v>
      </c>
      <c r="K34" s="705">
        <f>G34*$J34*L_CBac!$G$68</f>
        <v>191733.74999999997</v>
      </c>
      <c r="L34" s="705">
        <f>H34*$J34*L_CBac!$G$68</f>
        <v>191733.74999999997</v>
      </c>
      <c r="M34" s="705">
        <f>I34*$J34*L_CBac!$G$68</f>
        <v>249253.87499999997</v>
      </c>
      <c r="N34" s="705">
        <f>$D34*G34*L_CBac!$J$68</f>
        <v>12782.25</v>
      </c>
      <c r="O34" s="705">
        <f>$D34*H34*L_CBac!$J$68</f>
        <v>12782.25</v>
      </c>
      <c r="P34" s="705">
        <f>$D34*I34*L_CBac!$J$68</f>
        <v>16616.924999999999</v>
      </c>
      <c r="Q34" s="550">
        <f>$D34*G34*L_CBac!$J$69</f>
        <v>14038.461538461539</v>
      </c>
      <c r="R34" s="550">
        <f>$D34*H34*L_CBac!$J$69</f>
        <v>14038.461538461539</v>
      </c>
      <c r="S34" s="551">
        <f>$D34*I34*L_CBac!$J$69</f>
        <v>18250</v>
      </c>
    </row>
    <row r="35" spans="1:19" s="552" customFormat="1" ht="15">
      <c r="A35" s="546" t="e">
        <f>L_CViec!#REF!</f>
        <v>#REF!</v>
      </c>
      <c r="B35" s="573" t="e">
        <f>L_CViec!#REF!</f>
        <v>#REF!</v>
      </c>
      <c r="C35" s="548" t="e">
        <f>L_CViec!#REF!</f>
        <v>#REF!</v>
      </c>
      <c r="D35" s="548" t="e">
        <f>L_CViec!#REF!</f>
        <v>#REF!</v>
      </c>
      <c r="E35" s="548" t="e">
        <f>L_CViec!#REF!</f>
        <v>#REF!</v>
      </c>
      <c r="F35" s="548" t="e">
        <f>L_CViec!#REF!</f>
        <v>#REF!</v>
      </c>
      <c r="G35" s="548" t="e">
        <f>L_CViec!#REF!</f>
        <v>#REF!</v>
      </c>
      <c r="H35" s="704" t="e">
        <f>L_CViec!#REF!</f>
        <v>#REF!</v>
      </c>
      <c r="I35" s="704" t="e">
        <f>L_CViec!#REF!</f>
        <v>#REF!</v>
      </c>
      <c r="J35" s="550" t="e">
        <f>L_CViec!#REF!</f>
        <v>#REF!</v>
      </c>
      <c r="K35" s="705" t="e">
        <f>G35*$J35*L_CBac!$G$68</f>
        <v>#REF!</v>
      </c>
      <c r="L35" s="705" t="e">
        <f>H35*$J35*L_CBac!$G$68</f>
        <v>#REF!</v>
      </c>
      <c r="M35" s="705" t="e">
        <f>I35*$J35*L_CBac!$G$68</f>
        <v>#REF!</v>
      </c>
      <c r="N35" s="705" t="e">
        <f>$D35*G35*L_CBac!$J$68</f>
        <v>#REF!</v>
      </c>
      <c r="O35" s="705" t="e">
        <f>$D35*H35*L_CBac!$J$68</f>
        <v>#REF!</v>
      </c>
      <c r="P35" s="705" t="e">
        <f>$D35*I35*L_CBac!$J$68</f>
        <v>#REF!</v>
      </c>
      <c r="Q35" s="550" t="e">
        <f>$D35*G35*L_CBac!$J$69</f>
        <v>#REF!</v>
      </c>
      <c r="R35" s="550" t="e">
        <f>$D35*H35*L_CBac!$J$69</f>
        <v>#REF!</v>
      </c>
      <c r="S35" s="551" t="e">
        <f>$D35*I35*L_CBac!$J$69</f>
        <v>#REF!</v>
      </c>
    </row>
    <row r="36" spans="1:19" s="552" customFormat="1" ht="30">
      <c r="A36" s="546" t="str">
        <f>L_CViec!A125</f>
        <v>13</v>
      </c>
      <c r="B36" s="559" t="str">
        <f>L_CViec!B125</f>
        <v>Lập Tờ trình trình Chủ tịch UBND cấp xã, phường</v>
      </c>
      <c r="C36" s="548">
        <f>L_CViec!AB125</f>
        <v>0</v>
      </c>
      <c r="D36" s="548">
        <f>L_CViec!AA125</f>
        <v>0</v>
      </c>
      <c r="E36" s="548">
        <f>L_CViec!AC125</f>
        <v>0</v>
      </c>
      <c r="F36" s="548">
        <f>L_CViec!AD125</f>
        <v>0</v>
      </c>
      <c r="G36" s="548">
        <f>L_CViec!AE125</f>
        <v>0</v>
      </c>
      <c r="H36" s="704">
        <f>L_CViec!AF125</f>
        <v>0</v>
      </c>
      <c r="I36" s="704">
        <f>L_CViec!AG125</f>
        <v>0</v>
      </c>
      <c r="J36" s="550">
        <f>L_CViec!AH125</f>
        <v>0</v>
      </c>
      <c r="K36" s="705"/>
      <c r="L36" s="705"/>
      <c r="M36" s="705"/>
      <c r="N36" s="705"/>
      <c r="O36" s="705"/>
      <c r="P36" s="705"/>
      <c r="Q36" s="550"/>
      <c r="R36" s="550"/>
      <c r="S36" s="551"/>
    </row>
    <row r="37" spans="1:19" s="558" customFormat="1" ht="20.100000000000001" customHeight="1">
      <c r="A37" s="553" t="str">
        <f>L_CViec!A126</f>
        <v>13.1</v>
      </c>
      <c r="B37" s="574" t="str">
        <f>L_CViec!B126</f>
        <v>Theo hình thức trực tiếp</v>
      </c>
      <c r="C37" s="555" t="str">
        <f>L_CViec!AB126</f>
        <v>Hồ sơ</v>
      </c>
      <c r="D37" s="555">
        <f>L_CViec!AA126</f>
        <v>1</v>
      </c>
      <c r="E37" s="555" t="str">
        <f>L_CViec!AC126</f>
        <v>1KS3</v>
      </c>
      <c r="F37" s="555" t="str">
        <f>L_CViec!AD126</f>
        <v>1-3</v>
      </c>
      <c r="G37" s="555">
        <f>L_CViec!AE126</f>
        <v>0.05</v>
      </c>
      <c r="H37" s="706">
        <f>L_CViec!AF126</f>
        <v>0.05</v>
      </c>
      <c r="I37" s="706">
        <f>L_CViec!AG126</f>
        <v>6.5000000000000002E-2</v>
      </c>
      <c r="J37" s="556">
        <f>L_CViec!AH126</f>
        <v>333450</v>
      </c>
      <c r="K37" s="707">
        <f>G37*$J37*L_CBac!$G$68</f>
        <v>19173.375</v>
      </c>
      <c r="L37" s="707">
        <f>H37*$J37*L_CBac!$G$68</f>
        <v>19173.375</v>
      </c>
      <c r="M37" s="707">
        <f>I37*$J37*L_CBac!$G$68</f>
        <v>24925.387499999997</v>
      </c>
      <c r="N37" s="707">
        <f>$D37*G37*L_CBac!$J$68</f>
        <v>1278.2250000000001</v>
      </c>
      <c r="O37" s="707">
        <f>$D37*H37*L_CBac!$J$68</f>
        <v>1278.2250000000001</v>
      </c>
      <c r="P37" s="707">
        <f>$D37*I37*L_CBac!$J$68</f>
        <v>1661.6925000000001</v>
      </c>
      <c r="Q37" s="556">
        <f>$D37*G37*L_CBac!$J$69</f>
        <v>1403.846153846154</v>
      </c>
      <c r="R37" s="556">
        <f>$D37*H37*L_CBac!$J$69</f>
        <v>1403.846153846154</v>
      </c>
      <c r="S37" s="557">
        <f>$D37*I37*L_CBac!$J$69</f>
        <v>1825.0000000000002</v>
      </c>
    </row>
    <row r="38" spans="1:19" s="558" customFormat="1" ht="20.100000000000001" customHeight="1">
      <c r="A38" s="553" t="str">
        <f>L_CViec!A127</f>
        <v>13.2</v>
      </c>
      <c r="B38" s="574" t="str">
        <f>L_CViec!B127</f>
        <v>Theo hình thức trực tuyến</v>
      </c>
      <c r="C38" s="555" t="str">
        <f>L_CViec!AB127</f>
        <v>Hồ sơ</v>
      </c>
      <c r="D38" s="555">
        <f>L_CViec!AA127</f>
        <v>1</v>
      </c>
      <c r="E38" s="555" t="str">
        <f>L_CViec!AC127</f>
        <v>1KS3</v>
      </c>
      <c r="F38" s="555" t="str">
        <f>L_CViec!AD127</f>
        <v>1-3</v>
      </c>
      <c r="G38" s="555">
        <f>L_CViec!AE127</f>
        <v>2.5000000000000001E-2</v>
      </c>
      <c r="H38" s="706">
        <f>L_CViec!AF127</f>
        <v>2.5000000000000001E-2</v>
      </c>
      <c r="I38" s="706">
        <f>L_CViec!AG127</f>
        <v>3.3000000000000002E-2</v>
      </c>
      <c r="J38" s="556">
        <f>L_CViec!AH127</f>
        <v>333450</v>
      </c>
      <c r="K38" s="707">
        <f>G38*$J38*L_CBac!$G$68</f>
        <v>9586.6875</v>
      </c>
      <c r="L38" s="707">
        <f>H38*$J38*L_CBac!$G$68</f>
        <v>9586.6875</v>
      </c>
      <c r="M38" s="707">
        <f>I38*$J38*L_CBac!$G$68</f>
        <v>12654.4275</v>
      </c>
      <c r="N38" s="707">
        <f>$D38*G38*L_CBac!$J$68</f>
        <v>639.11250000000007</v>
      </c>
      <c r="O38" s="707">
        <f>$D38*H38*L_CBac!$J$68</f>
        <v>639.11250000000007</v>
      </c>
      <c r="P38" s="707">
        <f>$D38*I38*L_CBac!$J$68</f>
        <v>843.62850000000003</v>
      </c>
      <c r="Q38" s="556">
        <f>$D38*G38*L_CBac!$J$69</f>
        <v>701.92307692307702</v>
      </c>
      <c r="R38" s="556">
        <f>$D38*H38*L_CBac!$J$69</f>
        <v>701.92307692307702</v>
      </c>
      <c r="S38" s="557">
        <f>$D38*I38*L_CBac!$J$69</f>
        <v>926.53846153846166</v>
      </c>
    </row>
    <row r="39" spans="1:19" s="552" customFormat="1" ht="30">
      <c r="A39" s="546" t="str">
        <f>L_CViec!A128</f>
        <v>14</v>
      </c>
      <c r="B39" s="559" t="str">
        <f>L_CViec!B128</f>
        <v>Quyết định hình thức sử dụng đất đối với tổ chức</v>
      </c>
      <c r="C39" s="548" t="str">
        <f>L_CViec!AB128</f>
        <v>Hồ sơ</v>
      </c>
      <c r="D39" s="548">
        <f>L_CViec!AA128</f>
        <v>1</v>
      </c>
      <c r="E39" s="548" t="str">
        <f>L_CViec!AC128</f>
        <v>1KS3</v>
      </c>
      <c r="F39" s="548" t="str">
        <f>L_CViec!AD128</f>
        <v>1-3</v>
      </c>
      <c r="G39" s="548">
        <f>L_CViec!AE128</f>
        <v>0.05</v>
      </c>
      <c r="H39" s="704">
        <f>L_CViec!AF128</f>
        <v>0.05</v>
      </c>
      <c r="I39" s="704">
        <f>L_CViec!AG128</f>
        <v>0.05</v>
      </c>
      <c r="J39" s="550">
        <f>L_CViec!AH128</f>
        <v>333450</v>
      </c>
      <c r="K39" s="705">
        <f>G39*$J39*L_CBac!$G$68</f>
        <v>19173.375</v>
      </c>
      <c r="L39" s="705">
        <f>H39*$J39*L_CBac!$G$68</f>
        <v>19173.375</v>
      </c>
      <c r="M39" s="705">
        <f>I39*$J39*L_CBac!$G$68</f>
        <v>19173.375</v>
      </c>
      <c r="N39" s="705">
        <f>$D39*G39*L_CBac!$J$68</f>
        <v>1278.2250000000001</v>
      </c>
      <c r="O39" s="705">
        <f>$D39*H39*L_CBac!$J$68</f>
        <v>1278.2250000000001</v>
      </c>
      <c r="P39" s="705">
        <f>$D39*I39*L_CBac!$J$68</f>
        <v>1278.2250000000001</v>
      </c>
      <c r="Q39" s="550">
        <f>$D39*G39*L_CBac!$J$69</f>
        <v>1403.846153846154</v>
      </c>
      <c r="R39" s="550">
        <f>$D39*H39*L_CBac!$J$69</f>
        <v>1403.846153846154</v>
      </c>
      <c r="S39" s="551">
        <f>$D39*I39*L_CBac!$J$69</f>
        <v>1403.846153846154</v>
      </c>
    </row>
    <row r="40" spans="1:19" s="552" customFormat="1" ht="45">
      <c r="A40" s="546" t="str">
        <f>L_CViec!A129</f>
        <v>15</v>
      </c>
      <c r="B40" s="559" t="str">
        <f>L_CViec!B129</f>
        <v>Ban hành Thông báo xác nhận kết quả đăng ký đất đai đối với trường hợp không có nhu cầu hoặc không đủ điều kiện cấp Giấy chứng nhận</v>
      </c>
      <c r="C40" s="548" t="str">
        <f>L_CViec!AB129</f>
        <v>Hồ sơ</v>
      </c>
      <c r="D40" s="548">
        <f>L_CViec!AA129</f>
        <v>1</v>
      </c>
      <c r="E40" s="548" t="str">
        <f>L_CViec!AC129</f>
        <v>1KS2</v>
      </c>
      <c r="F40" s="548" t="str">
        <f>L_CViec!AD129</f>
        <v>1-3</v>
      </c>
      <c r="G40" s="548">
        <f>L_CViec!AE129</f>
        <v>0.2</v>
      </c>
      <c r="H40" s="704">
        <f>L_CViec!AF129</f>
        <v>0.2</v>
      </c>
      <c r="I40" s="704">
        <f>L_CViec!AG129</f>
        <v>0.2</v>
      </c>
      <c r="J40" s="550">
        <f>L_CViec!AH129</f>
        <v>296770.5</v>
      </c>
      <c r="K40" s="705">
        <f>G40*$J40*L_CBac!$G$68</f>
        <v>68257.214999999997</v>
      </c>
      <c r="L40" s="705">
        <f>H40*$J40*L_CBac!$G$68</f>
        <v>68257.214999999997</v>
      </c>
      <c r="M40" s="705">
        <f>I40*$J40*L_CBac!$G$68</f>
        <v>68257.214999999997</v>
      </c>
      <c r="N40" s="705">
        <f>$D40*G40*L_CBac!$J$68</f>
        <v>5112.9000000000005</v>
      </c>
      <c r="O40" s="705">
        <f>$D40*H40*L_CBac!$J$68</f>
        <v>5112.9000000000005</v>
      </c>
      <c r="P40" s="705">
        <f>$D40*I40*L_CBac!$J$68</f>
        <v>5112.9000000000005</v>
      </c>
      <c r="Q40" s="550">
        <f>$D40*G40*L_CBac!$J$69</f>
        <v>5615.3846153846162</v>
      </c>
      <c r="R40" s="550">
        <f>$D40*H40*L_CBac!$J$69</f>
        <v>5615.3846153846162</v>
      </c>
      <c r="S40" s="551">
        <f>$D40*I40*L_CBac!$J$69</f>
        <v>5615.3846153846162</v>
      </c>
    </row>
    <row r="41" spans="1:19" s="552" customFormat="1" ht="30">
      <c r="A41" s="546">
        <f>L_CViec!A132</f>
        <v>18</v>
      </c>
      <c r="B41" s="559" t="str">
        <f>L_CViec!B132</f>
        <v>Quyết định hình thức sử dụng đất đối với tổ chức</v>
      </c>
      <c r="C41" s="548" t="str">
        <f>L_CViec!AB132</f>
        <v>Hồ sơ</v>
      </c>
      <c r="D41" s="548">
        <f>L_CViec!AA132</f>
        <v>1</v>
      </c>
      <c r="E41" s="548" t="str">
        <f>L_CViec!AC132</f>
        <v>1KS3</v>
      </c>
      <c r="F41" s="548" t="str">
        <f>L_CViec!AD132</f>
        <v>1-3</v>
      </c>
      <c r="G41" s="548">
        <f>L_CViec!AE132</f>
        <v>0.05</v>
      </c>
      <c r="H41" s="704">
        <f>L_CViec!AF132</f>
        <v>0.05</v>
      </c>
      <c r="I41" s="704">
        <f>L_CViec!AG132</f>
        <v>0.5</v>
      </c>
      <c r="J41" s="550">
        <f>L_CViec!AH132</f>
        <v>333450</v>
      </c>
      <c r="K41" s="705">
        <f>G41*$J41*L_CBac!$G$68</f>
        <v>19173.375</v>
      </c>
      <c r="L41" s="705">
        <f>H41*$J41*L_CBac!$G$68</f>
        <v>19173.375</v>
      </c>
      <c r="M41" s="705">
        <f>I41*$J41*L_CBac!$G$68</f>
        <v>191733.74999999997</v>
      </c>
      <c r="N41" s="705">
        <f>$D41*G41*L_CBac!$J$68</f>
        <v>1278.2250000000001</v>
      </c>
      <c r="O41" s="705">
        <f>$D41*H41*L_CBac!$J$68</f>
        <v>1278.2250000000001</v>
      </c>
      <c r="P41" s="705">
        <f>$D41*I41*L_CBac!$J$68</f>
        <v>12782.25</v>
      </c>
      <c r="Q41" s="550">
        <f>$D41*G41*L_CBac!$J$69</f>
        <v>1403.846153846154</v>
      </c>
      <c r="R41" s="550">
        <f>$D41*H41*L_CBac!$J$69</f>
        <v>1403.846153846154</v>
      </c>
      <c r="S41" s="551">
        <f>$D41*I41*L_CBac!$J$69</f>
        <v>14038.461538461539</v>
      </c>
    </row>
    <row r="42" spans="1:19" s="534" customFormat="1" ht="32.25" customHeight="1">
      <c r="A42" s="535" t="e">
        <f>L_CViec!#REF!</f>
        <v>#REF!</v>
      </c>
      <c r="B42" s="1770" t="e">
        <f>L_CViec!#REF!</f>
        <v>#REF!</v>
      </c>
      <c r="C42" s="1771"/>
      <c r="D42" s="1772"/>
      <c r="E42" s="584" t="e">
        <f>L_CViec!#REF!</f>
        <v>#REF!</v>
      </c>
      <c r="F42" s="584" t="e">
        <f>L_CViec!#REF!</f>
        <v>#REF!</v>
      </c>
      <c r="G42" s="584" t="e">
        <f>L_CViec!#REF!</f>
        <v>#REF!</v>
      </c>
      <c r="H42" s="537" t="e">
        <f>L_CViec!#REF!</f>
        <v>#REF!</v>
      </c>
      <c r="I42" s="537" t="e">
        <f>L_CViec!#REF!</f>
        <v>#REF!</v>
      </c>
      <c r="J42" s="537" t="e">
        <f>L_CViec!#REF!</f>
        <v>#REF!</v>
      </c>
      <c r="K42" s="708" t="e">
        <f>SUM(K43,K49,K51,K52,K53,K55,K59,K60,K67,K68,K70,K72,K73,K74,K75,K81,K82)</f>
        <v>#REF!</v>
      </c>
      <c r="L42" s="708" t="e">
        <f t="shared" ref="L42:S42" si="6">SUM(L43,L49,L51,L52,L53,L55,L59,L60,L67,L68,L70,L72,L73,L74,L75,L81,L82)</f>
        <v>#REF!</v>
      </c>
      <c r="M42" s="708" t="e">
        <f t="shared" si="6"/>
        <v>#REF!</v>
      </c>
      <c r="N42" s="708" t="e">
        <f t="shared" si="6"/>
        <v>#REF!</v>
      </c>
      <c r="O42" s="708" t="e">
        <f t="shared" si="6"/>
        <v>#REF!</v>
      </c>
      <c r="P42" s="708" t="e">
        <f t="shared" si="6"/>
        <v>#REF!</v>
      </c>
      <c r="Q42" s="537" t="e">
        <f t="shared" si="6"/>
        <v>#REF!</v>
      </c>
      <c r="R42" s="537" t="e">
        <f t="shared" si="6"/>
        <v>#REF!</v>
      </c>
      <c r="S42" s="538" t="e">
        <f t="shared" si="6"/>
        <v>#REF!</v>
      </c>
    </row>
    <row r="43" spans="1:19" s="552" customFormat="1" ht="15">
      <c r="A43" s="546" t="e">
        <f>L_CViec!#REF!</f>
        <v>#REF!</v>
      </c>
      <c r="B43" s="559" t="e">
        <f>L_CViec!#REF!</f>
        <v>#REF!</v>
      </c>
      <c r="C43" s="548" t="e">
        <f>L_CViec!#REF!</f>
        <v>#REF!</v>
      </c>
      <c r="D43" s="548" t="e">
        <f>L_CViec!#REF!</f>
        <v>#REF!</v>
      </c>
      <c r="E43" s="548" t="e">
        <f>L_CViec!#REF!</f>
        <v>#REF!</v>
      </c>
      <c r="F43" s="548" t="e">
        <f>L_CViec!#REF!</f>
        <v>#REF!</v>
      </c>
      <c r="G43" s="548" t="e">
        <f>L_CViec!#REF!</f>
        <v>#REF!</v>
      </c>
      <c r="H43" s="704" t="e">
        <f>L_CViec!#REF!</f>
        <v>#REF!</v>
      </c>
      <c r="I43" s="704" t="e">
        <f>L_CViec!#REF!</f>
        <v>#REF!</v>
      </c>
      <c r="J43" s="550" t="e">
        <f>L_CViec!#REF!</f>
        <v>#REF!</v>
      </c>
      <c r="K43" s="705" t="e">
        <f>K44+K46</f>
        <v>#REF!</v>
      </c>
      <c r="L43" s="705" t="e">
        <f t="shared" ref="L43:S43" si="7">L44+L46</f>
        <v>#REF!</v>
      </c>
      <c r="M43" s="705" t="e">
        <f t="shared" si="7"/>
        <v>#REF!</v>
      </c>
      <c r="N43" s="705" t="e">
        <f t="shared" si="7"/>
        <v>#REF!</v>
      </c>
      <c r="O43" s="705" t="e">
        <f t="shared" si="7"/>
        <v>#REF!</v>
      </c>
      <c r="P43" s="705" t="e">
        <f t="shared" si="7"/>
        <v>#REF!</v>
      </c>
      <c r="Q43" s="550" t="e">
        <f t="shared" si="7"/>
        <v>#REF!</v>
      </c>
      <c r="R43" s="550" t="e">
        <f t="shared" si="7"/>
        <v>#REF!</v>
      </c>
      <c r="S43" s="551" t="e">
        <f t="shared" si="7"/>
        <v>#REF!</v>
      </c>
    </row>
    <row r="44" spans="1:19" s="558" customFormat="1" ht="15">
      <c r="A44" s="553" t="e">
        <f>L_CViec!#REF!</f>
        <v>#REF!</v>
      </c>
      <c r="B44" s="574" t="e">
        <f>L_CViec!#REF!</f>
        <v>#REF!</v>
      </c>
      <c r="C44" s="555" t="e">
        <f>L_CViec!#REF!</f>
        <v>#REF!</v>
      </c>
      <c r="D44" s="555" t="e">
        <f>L_CViec!#REF!</f>
        <v>#REF!</v>
      </c>
      <c r="E44" s="555" t="e">
        <f>L_CViec!#REF!</f>
        <v>#REF!</v>
      </c>
      <c r="F44" s="555" t="e">
        <f>L_CViec!#REF!</f>
        <v>#REF!</v>
      </c>
      <c r="G44" s="555" t="e">
        <f>L_CViec!#REF!</f>
        <v>#REF!</v>
      </c>
      <c r="H44" s="706" t="e">
        <f>L_CViec!#REF!</f>
        <v>#REF!</v>
      </c>
      <c r="I44" s="706" t="e">
        <f>L_CViec!#REF!</f>
        <v>#REF!</v>
      </c>
      <c r="J44" s="556" t="e">
        <f>L_CViec!#REF!</f>
        <v>#REF!</v>
      </c>
      <c r="K44" s="707" t="e">
        <f>G44*$J44*L_CBac!$G$68</f>
        <v>#REF!</v>
      </c>
      <c r="L44" s="707" t="e">
        <f>H44*$J44*L_CBac!$G$68</f>
        <v>#REF!</v>
      </c>
      <c r="M44" s="707" t="e">
        <f>I44*$J44*L_CBac!$G$68</f>
        <v>#REF!</v>
      </c>
      <c r="N44" s="707" t="e">
        <f>$D44*G44*L_CBac!$J$68</f>
        <v>#REF!</v>
      </c>
      <c r="O44" s="707" t="e">
        <f>$D44*H44*L_CBac!$J$68</f>
        <v>#REF!</v>
      </c>
      <c r="P44" s="707" t="e">
        <f>$D44*I44*L_CBac!$J$68</f>
        <v>#REF!</v>
      </c>
      <c r="Q44" s="556" t="e">
        <f>$D44*G44*L_CBac!$J$69</f>
        <v>#REF!</v>
      </c>
      <c r="R44" s="556" t="e">
        <f>$D44*H44*L_CBac!$J$69</f>
        <v>#REF!</v>
      </c>
      <c r="S44" s="557" t="e">
        <f>$D44*I44*L_CBac!$J$69</f>
        <v>#REF!</v>
      </c>
    </row>
    <row r="45" spans="1:19" s="558" customFormat="1" ht="45">
      <c r="A45" s="553">
        <f>L_CViec!A136</f>
        <v>20</v>
      </c>
      <c r="B45" s="574" t="str">
        <f>L_CViec!B136</f>
        <v>Nhận thông báo hoàn thành nghĩa vụ tài chính từ cơ quan thuế hoặc được ghi nợ nghĩa vụ tài chính</v>
      </c>
      <c r="C45" s="555">
        <f>L_CViec!AB136</f>
        <v>0</v>
      </c>
      <c r="D45" s="555">
        <f>L_CViec!AA136</f>
        <v>0</v>
      </c>
      <c r="E45" s="555">
        <f>L_CViec!AC136</f>
        <v>0</v>
      </c>
      <c r="F45" s="555">
        <f>L_CViec!AD136</f>
        <v>0</v>
      </c>
      <c r="G45" s="555">
        <f>L_CViec!AE136</f>
        <v>0</v>
      </c>
      <c r="H45" s="706">
        <f>L_CViec!AF136</f>
        <v>0</v>
      </c>
      <c r="I45" s="706">
        <f>L_CViec!AG136</f>
        <v>0</v>
      </c>
      <c r="J45" s="556">
        <f>L_CViec!AH136</f>
        <v>0</v>
      </c>
      <c r="K45" s="707"/>
      <c r="L45" s="707"/>
      <c r="M45" s="707"/>
      <c r="N45" s="707"/>
      <c r="O45" s="707"/>
      <c r="P45" s="707"/>
      <c r="Q45" s="556"/>
      <c r="R45" s="556"/>
      <c r="S45" s="557"/>
    </row>
    <row r="46" spans="1:19" s="558" customFormat="1" ht="15">
      <c r="A46" s="553">
        <f>L_CViec!A137</f>
        <v>20.100000000000001</v>
      </c>
      <c r="B46" s="574" t="str">
        <f>L_CViec!B137</f>
        <v>Chuyển thông tin theo hình thức trực tiếp</v>
      </c>
      <c r="C46" s="555" t="str">
        <f>L_CViec!AB137</f>
        <v>Hồ sơ</v>
      </c>
      <c r="D46" s="555">
        <f>L_CViec!AA137</f>
        <v>1</v>
      </c>
      <c r="E46" s="555" t="str">
        <f>L_CViec!AC137</f>
        <v>1KS3</v>
      </c>
      <c r="F46" s="555" t="str">
        <f>L_CViec!AD137</f>
        <v>1-3</v>
      </c>
      <c r="G46" s="555">
        <f>L_CViec!AE137</f>
        <v>0.1</v>
      </c>
      <c r="H46" s="706">
        <f>L_CViec!AF137</f>
        <v>0.1</v>
      </c>
      <c r="I46" s="706">
        <f>L_CViec!AG137</f>
        <v>0.13</v>
      </c>
      <c r="J46" s="556">
        <f>L_CViec!AH137</f>
        <v>333450</v>
      </c>
      <c r="K46" s="707">
        <f>G46*$J46*L_CBac!$G$68</f>
        <v>38346.75</v>
      </c>
      <c r="L46" s="707">
        <f>H46*$J46*L_CBac!$G$68</f>
        <v>38346.75</v>
      </c>
      <c r="M46" s="707">
        <f>I46*$J46*L_CBac!$G$68</f>
        <v>49850.774999999994</v>
      </c>
      <c r="N46" s="707">
        <f>$D46*G46*L_CBac!$J$68</f>
        <v>2556.4500000000003</v>
      </c>
      <c r="O46" s="707">
        <f>$D46*H46*L_CBac!$J$68</f>
        <v>2556.4500000000003</v>
      </c>
      <c r="P46" s="707">
        <f>$D46*I46*L_CBac!$J$68</f>
        <v>3323.3850000000002</v>
      </c>
      <c r="Q46" s="556">
        <f>$D46*G46*L_CBac!$J$69</f>
        <v>2807.6923076923081</v>
      </c>
      <c r="R46" s="556">
        <f>$D46*H46*L_CBac!$J$69</f>
        <v>2807.6923076923081</v>
      </c>
      <c r="S46" s="557">
        <f>$D46*I46*L_CBac!$J$69</f>
        <v>3650.0000000000005</v>
      </c>
    </row>
    <row r="47" spans="1:19" s="558" customFormat="1" ht="15">
      <c r="A47" s="553">
        <f>L_CViec!A138</f>
        <v>20.2</v>
      </c>
      <c r="B47" s="574" t="str">
        <f>L_CViec!B138</f>
        <v>Chuyển thông tin theo hình thức liên thông</v>
      </c>
      <c r="C47" s="555" t="str">
        <f>L_CViec!AB138</f>
        <v>Hồ sơ</v>
      </c>
      <c r="D47" s="555">
        <f>L_CViec!AA138</f>
        <v>1</v>
      </c>
      <c r="E47" s="555" t="str">
        <f>L_CViec!AC138</f>
        <v>1KS3</v>
      </c>
      <c r="F47" s="555" t="str">
        <f>L_CViec!AD138</f>
        <v>1-3</v>
      </c>
      <c r="G47" s="555">
        <f>L_CViec!AE138</f>
        <v>0.2</v>
      </c>
      <c r="H47" s="706">
        <f>L_CViec!AF138</f>
        <v>0.2</v>
      </c>
      <c r="I47" s="706">
        <f>L_CViec!AG138</f>
        <v>0.26</v>
      </c>
      <c r="J47" s="556">
        <f>L_CViec!AH138</f>
        <v>333450</v>
      </c>
      <c r="K47" s="707">
        <f>G47*$J47*L_CBac!$G$68</f>
        <v>76693.5</v>
      </c>
      <c r="L47" s="707">
        <f>H47*$J47*L_CBac!$G$68</f>
        <v>76693.5</v>
      </c>
      <c r="M47" s="707">
        <f>I47*$J47*L_CBac!$G$68</f>
        <v>99701.549999999988</v>
      </c>
      <c r="N47" s="707">
        <f>$D47*G47*L_CBac!$J$68</f>
        <v>5112.9000000000005</v>
      </c>
      <c r="O47" s="707">
        <f>$D47*H47*L_CBac!$J$68</f>
        <v>5112.9000000000005</v>
      </c>
      <c r="P47" s="707">
        <f>$D47*I47*L_CBac!$J$68</f>
        <v>6646.77</v>
      </c>
      <c r="Q47" s="556">
        <f>$D47*G47*L_CBac!$J$69</f>
        <v>5615.3846153846162</v>
      </c>
      <c r="R47" s="556">
        <f>$D47*H47*L_CBac!$J$69</f>
        <v>5615.3846153846162</v>
      </c>
      <c r="S47" s="557">
        <f>$D47*I47*L_CBac!$J$69</f>
        <v>7300.0000000000009</v>
      </c>
    </row>
    <row r="48" spans="1:19" s="552" customFormat="1" ht="15">
      <c r="A48" s="546">
        <f>L_CViec!A141</f>
        <v>23</v>
      </c>
      <c r="B48" s="559" t="str">
        <f>L_CViec!B141</f>
        <v>In GCN</v>
      </c>
      <c r="C48" s="548">
        <f>L_CViec!AB141</f>
        <v>0</v>
      </c>
      <c r="D48" s="548">
        <f>L_CViec!AA141</f>
        <v>0</v>
      </c>
      <c r="E48" s="548">
        <f>L_CViec!AC141</f>
        <v>0</v>
      </c>
      <c r="F48" s="548">
        <f>L_CViec!AD141</f>
        <v>0</v>
      </c>
      <c r="G48" s="548">
        <f>L_CViec!AE141</f>
        <v>0</v>
      </c>
      <c r="H48" s="704">
        <f>L_CViec!AF141</f>
        <v>0</v>
      </c>
      <c r="I48" s="704">
        <f>L_CViec!AG141</f>
        <v>0</v>
      </c>
      <c r="J48" s="550">
        <f>L_CViec!AH141</f>
        <v>0</v>
      </c>
      <c r="K48" s="705"/>
      <c r="L48" s="705"/>
      <c r="M48" s="705"/>
      <c r="N48" s="705"/>
      <c r="O48" s="705"/>
      <c r="P48" s="705"/>
      <c r="Q48" s="550"/>
      <c r="R48" s="550"/>
      <c r="S48" s="551"/>
    </row>
    <row r="49" spans="1:19" s="558" customFormat="1" ht="20.100000000000001" customHeight="1">
      <c r="A49" s="553">
        <f>L_CViec!A142</f>
        <v>23.1</v>
      </c>
      <c r="B49" s="574" t="str">
        <f>L_CViec!B142</f>
        <v xml:space="preserve">Trực tiếp từ cơ sở dữ liệu dạng số </v>
      </c>
      <c r="C49" s="555" t="str">
        <f>L_CViec!AB142</f>
        <v>Hồ sơ</v>
      </c>
      <c r="D49" s="555">
        <f>L_CViec!AA142</f>
        <v>1</v>
      </c>
      <c r="E49" s="555" t="str">
        <f>L_CViec!AC142</f>
        <v>1KS2</v>
      </c>
      <c r="F49" s="555" t="str">
        <f>L_CViec!AD142</f>
        <v>1-3</v>
      </c>
      <c r="G49" s="555">
        <f>L_CViec!AE142</f>
        <v>0.1</v>
      </c>
      <c r="H49" s="706">
        <f>L_CViec!AF142</f>
        <v>0.1</v>
      </c>
      <c r="I49" s="706">
        <f>L_CViec!AG142</f>
        <v>0.1</v>
      </c>
      <c r="J49" s="556">
        <f>L_CViec!AH142</f>
        <v>296770.5</v>
      </c>
      <c r="K49" s="707">
        <f>G49*$J49*L_CBac!$G$68</f>
        <v>34128.607499999998</v>
      </c>
      <c r="L49" s="707">
        <f>H49*$J49*L_CBac!$G$68</f>
        <v>34128.607499999998</v>
      </c>
      <c r="M49" s="707">
        <f>I49*$J49*L_CBac!$G$68</f>
        <v>34128.607499999998</v>
      </c>
      <c r="N49" s="707">
        <f>$D49*G49*L_CBac!$J$68</f>
        <v>2556.4500000000003</v>
      </c>
      <c r="O49" s="707">
        <f>$D49*H49*L_CBac!$J$68</f>
        <v>2556.4500000000003</v>
      </c>
      <c r="P49" s="707">
        <f>$D49*I49*L_CBac!$J$68</f>
        <v>2556.4500000000003</v>
      </c>
      <c r="Q49" s="556">
        <f>$D49*G49*L_CBac!$J$69</f>
        <v>2807.6923076923081</v>
      </c>
      <c r="R49" s="556">
        <f>$D49*H49*L_CBac!$J$69</f>
        <v>2807.6923076923081</v>
      </c>
      <c r="S49" s="557">
        <f>$D49*I49*L_CBac!$J$69</f>
        <v>2807.6923076923081</v>
      </c>
    </row>
    <row r="50" spans="1:19" s="558" customFormat="1" ht="20.100000000000001" customHeight="1">
      <c r="A50" s="553">
        <f>L_CViec!A143</f>
        <v>23.2</v>
      </c>
      <c r="B50" s="574" t="str">
        <f>L_CViec!B143</f>
        <v>Đối với những nơi chưa có bản đồ dạng số</v>
      </c>
      <c r="C50" s="555" t="str">
        <f>L_CViec!AB143</f>
        <v>Hồ sơ</v>
      </c>
      <c r="D50" s="555">
        <f>L_CViec!AA143</f>
        <v>1</v>
      </c>
      <c r="E50" s="555" t="str">
        <f>L_CViec!AC143</f>
        <v>1KS2</v>
      </c>
      <c r="F50" s="555" t="str">
        <f>L_CViec!AD143</f>
        <v>1-3</v>
      </c>
      <c r="G50" s="555">
        <f>L_CViec!AE143</f>
        <v>0.15</v>
      </c>
      <c r="H50" s="706">
        <f>L_CViec!AF143</f>
        <v>0.15</v>
      </c>
      <c r="I50" s="706">
        <f>L_CViec!AG143</f>
        <v>0.2</v>
      </c>
      <c r="J50" s="556">
        <f>L_CViec!AH143</f>
        <v>296770.5</v>
      </c>
      <c r="K50" s="707">
        <f>G50*$J50*L_CBac!$G$68</f>
        <v>51192.91124999999</v>
      </c>
      <c r="L50" s="707">
        <f>H50*$J50*L_CBac!$G$68</f>
        <v>51192.91124999999</v>
      </c>
      <c r="M50" s="707">
        <f>I50*$J50*L_CBac!$G$68</f>
        <v>68257.214999999997</v>
      </c>
      <c r="N50" s="707">
        <f>$D50*G50*L_CBac!$J$68</f>
        <v>3834.6749999999997</v>
      </c>
      <c r="O50" s="707">
        <f>$D50*H50*L_CBac!$J$68</f>
        <v>3834.6749999999997</v>
      </c>
      <c r="P50" s="707">
        <f>$D50*I50*L_CBac!$J$68</f>
        <v>5112.9000000000005</v>
      </c>
      <c r="Q50" s="556">
        <f>$D50*G50*L_CBac!$J$69</f>
        <v>4211.5384615384619</v>
      </c>
      <c r="R50" s="556">
        <f>$D50*H50*L_CBac!$J$69</f>
        <v>4211.5384615384619</v>
      </c>
      <c r="S50" s="557">
        <f>$D50*I50*L_CBac!$J$69</f>
        <v>5615.3846153846162</v>
      </c>
    </row>
    <row r="51" spans="1:19" s="552" customFormat="1" ht="30">
      <c r="A51" s="546" t="str">
        <f>L_CViec!A145</f>
        <v>25</v>
      </c>
      <c r="B51" s="559" t="str">
        <f>L_CViec!B145</f>
        <v>Nhập bổ sung thông tin dữ liệu về Giấy chứng nhận đã cấp</v>
      </c>
      <c r="C51" s="548" t="str">
        <f>L_CViec!AB145</f>
        <v>Hồ sơ</v>
      </c>
      <c r="D51" s="548">
        <f>L_CViec!AA145</f>
        <v>1</v>
      </c>
      <c r="E51" s="548" t="str">
        <f>L_CViec!AC145</f>
        <v>1KS2</v>
      </c>
      <c r="F51" s="548" t="str">
        <f>L_CViec!AD145</f>
        <v>1-3</v>
      </c>
      <c r="G51" s="548">
        <f>L_CViec!AE145</f>
        <v>0.1</v>
      </c>
      <c r="H51" s="704">
        <f>L_CViec!AF145</f>
        <v>0.1</v>
      </c>
      <c r="I51" s="704">
        <f>L_CViec!AG145</f>
        <v>0.1</v>
      </c>
      <c r="J51" s="550">
        <f>L_CViec!AH145</f>
        <v>296770.5</v>
      </c>
      <c r="K51" s="705">
        <f>G51*$J51*L_CBac!$G$68</f>
        <v>34128.607499999998</v>
      </c>
      <c r="L51" s="705">
        <f>H51*$J51*L_CBac!$G$68</f>
        <v>34128.607499999998</v>
      </c>
      <c r="M51" s="705">
        <f>I51*$J51*L_CBac!$G$68</f>
        <v>34128.607499999998</v>
      </c>
      <c r="N51" s="705">
        <f>$D51*G51*L_CBac!$J$68</f>
        <v>2556.4500000000003</v>
      </c>
      <c r="O51" s="705">
        <f>$D51*H51*L_CBac!$J$68</f>
        <v>2556.4500000000003</v>
      </c>
      <c r="P51" s="705">
        <f>$D51*I51*L_CBac!$J$68</f>
        <v>2556.4500000000003</v>
      </c>
      <c r="Q51" s="550">
        <f>$D51*G51*L_CBac!$J$69</f>
        <v>2807.6923076923081</v>
      </c>
      <c r="R51" s="550">
        <f>$D51*H51*L_CBac!$J$69</f>
        <v>2807.6923076923081</v>
      </c>
      <c r="S51" s="551">
        <f>$D51*I51*L_CBac!$J$69</f>
        <v>2807.6923076923081</v>
      </c>
    </row>
    <row r="52" spans="1:19" s="552" customFormat="1" ht="15">
      <c r="A52" s="546" t="e">
        <f>L_CViec!#REF!</f>
        <v>#REF!</v>
      </c>
      <c r="B52" s="559" t="e">
        <f>L_CViec!#REF!</f>
        <v>#REF!</v>
      </c>
      <c r="C52" s="548" t="e">
        <f>L_CViec!#REF!</f>
        <v>#REF!</v>
      </c>
      <c r="D52" s="548" t="e">
        <f>L_CViec!#REF!</f>
        <v>#REF!</v>
      </c>
      <c r="E52" s="548" t="e">
        <f>L_CViec!#REF!</f>
        <v>#REF!</v>
      </c>
      <c r="F52" s="548" t="e">
        <f>L_CViec!#REF!</f>
        <v>#REF!</v>
      </c>
      <c r="G52" s="548" t="e">
        <f>L_CViec!#REF!</f>
        <v>#REF!</v>
      </c>
      <c r="H52" s="704" t="e">
        <f>L_CViec!#REF!</f>
        <v>#REF!</v>
      </c>
      <c r="I52" s="704" t="e">
        <f>L_CViec!#REF!</f>
        <v>#REF!</v>
      </c>
      <c r="J52" s="550" t="e">
        <f>L_CViec!#REF!</f>
        <v>#REF!</v>
      </c>
      <c r="K52" s="705" t="e">
        <f>G52*$J52*L_CBac!$G$68</f>
        <v>#REF!</v>
      </c>
      <c r="L52" s="705" t="e">
        <f>H52*$J52*L_CBac!$G$68</f>
        <v>#REF!</v>
      </c>
      <c r="M52" s="705" t="e">
        <f>I52*$J52*L_CBac!$G$68</f>
        <v>#REF!</v>
      </c>
      <c r="N52" s="705" t="e">
        <f>$D52*G52*L_CBac!$J$68</f>
        <v>#REF!</v>
      </c>
      <c r="O52" s="705" t="e">
        <f>$D52*H52*L_CBac!$J$68</f>
        <v>#REF!</v>
      </c>
      <c r="P52" s="705" t="e">
        <f>$D52*I52*L_CBac!$J$68</f>
        <v>#REF!</v>
      </c>
      <c r="Q52" s="550" t="e">
        <f>$D52*G52*L_CBac!$J$69</f>
        <v>#REF!</v>
      </c>
      <c r="R52" s="550" t="e">
        <f>$D52*H52*L_CBac!$J$69</f>
        <v>#REF!</v>
      </c>
      <c r="S52" s="551" t="e">
        <f>$D52*I52*L_CBac!$J$69</f>
        <v>#REF!</v>
      </c>
    </row>
    <row r="53" spans="1:19" s="552" customFormat="1" ht="15">
      <c r="A53" s="546" t="e">
        <f>L_CViec!#REF!</f>
        <v>#REF!</v>
      </c>
      <c r="B53" s="559" t="e">
        <f>L_CViec!#REF!</f>
        <v>#REF!</v>
      </c>
      <c r="C53" s="548" t="e">
        <f>L_CViec!#REF!</f>
        <v>#REF!</v>
      </c>
      <c r="D53" s="548" t="e">
        <f>L_CViec!#REF!</f>
        <v>#REF!</v>
      </c>
      <c r="E53" s="548" t="e">
        <f>L_CViec!#REF!</f>
        <v>#REF!</v>
      </c>
      <c r="F53" s="548" t="e">
        <f>L_CViec!#REF!</f>
        <v>#REF!</v>
      </c>
      <c r="G53" s="548" t="e">
        <f>L_CViec!#REF!</f>
        <v>#REF!</v>
      </c>
      <c r="H53" s="704" t="e">
        <f>L_CViec!#REF!</f>
        <v>#REF!</v>
      </c>
      <c r="I53" s="704" t="e">
        <f>L_CViec!#REF!</f>
        <v>#REF!</v>
      </c>
      <c r="J53" s="550" t="e">
        <f>L_CViec!#REF!</f>
        <v>#REF!</v>
      </c>
      <c r="K53" s="705" t="e">
        <f>G53*$J53*L_CBac!$G$68</f>
        <v>#REF!</v>
      </c>
      <c r="L53" s="705" t="e">
        <f>H53*$J53*L_CBac!$G$68</f>
        <v>#REF!</v>
      </c>
      <c r="M53" s="705" t="e">
        <f>I53*$J53*L_CBac!$G$68</f>
        <v>#REF!</v>
      </c>
      <c r="N53" s="705" t="e">
        <f>$D53*G53*L_CBac!$J$68</f>
        <v>#REF!</v>
      </c>
      <c r="O53" s="705" t="e">
        <f>$D53*H53*L_CBac!$J$68</f>
        <v>#REF!</v>
      </c>
      <c r="P53" s="705" t="e">
        <f>$D53*I53*L_CBac!$J$68</f>
        <v>#REF!</v>
      </c>
      <c r="Q53" s="550" t="e">
        <f>$D53*G53*L_CBac!$J$69</f>
        <v>#REF!</v>
      </c>
      <c r="R53" s="550" t="e">
        <f>$D53*H53*L_CBac!$J$69</f>
        <v>#REF!</v>
      </c>
      <c r="S53" s="551" t="e">
        <f>$D53*I53*L_CBac!$J$69</f>
        <v>#REF!</v>
      </c>
    </row>
    <row r="54" spans="1:19" s="552" customFormat="1" ht="49.5" customHeight="1">
      <c r="A54" s="546" t="e">
        <f>L_CViec!#REF!</f>
        <v>#REF!</v>
      </c>
      <c r="B54" s="1736" t="e">
        <f>L_CViec!#REF!</f>
        <v>#REF!</v>
      </c>
      <c r="C54" s="1737"/>
      <c r="D54" s="1737"/>
      <c r="E54" s="1737"/>
      <c r="F54" s="1819"/>
      <c r="G54" s="548" t="e">
        <f>L_CViec!#REF!</f>
        <v>#REF!</v>
      </c>
      <c r="H54" s="704" t="e">
        <f>L_CViec!#REF!</f>
        <v>#REF!</v>
      </c>
      <c r="I54" s="704" t="e">
        <f>L_CViec!#REF!</f>
        <v>#REF!</v>
      </c>
      <c r="J54" s="550" t="e">
        <f>L_CViec!#REF!</f>
        <v>#REF!</v>
      </c>
      <c r="K54" s="705"/>
      <c r="L54" s="705"/>
      <c r="M54" s="705"/>
      <c r="N54" s="705"/>
      <c r="O54" s="705"/>
      <c r="P54" s="705"/>
      <c r="Q54" s="550"/>
      <c r="R54" s="550"/>
      <c r="S54" s="551"/>
    </row>
    <row r="55" spans="1:19" s="558" customFormat="1" ht="20.100000000000001" customHeight="1">
      <c r="A55" s="553" t="e">
        <f>L_CViec!#REF!</f>
        <v>#REF!</v>
      </c>
      <c r="B55" s="574" t="e">
        <f>L_CViec!#REF!</f>
        <v>#REF!</v>
      </c>
      <c r="C55" s="555" t="e">
        <f>L_CViec!#REF!</f>
        <v>#REF!</v>
      </c>
      <c r="D55" s="555" t="e">
        <f>L_CViec!#REF!</f>
        <v>#REF!</v>
      </c>
      <c r="E55" s="555" t="e">
        <f>L_CViec!#REF!</f>
        <v>#REF!</v>
      </c>
      <c r="F55" s="555" t="e">
        <f>L_CViec!#REF!</f>
        <v>#REF!</v>
      </c>
      <c r="G55" s="555" t="e">
        <f>L_CViec!#REF!</f>
        <v>#REF!</v>
      </c>
      <c r="H55" s="706" t="e">
        <f>L_CViec!#REF!</f>
        <v>#REF!</v>
      </c>
      <c r="I55" s="706" t="e">
        <f>L_CViec!#REF!</f>
        <v>#REF!</v>
      </c>
      <c r="J55" s="556" t="e">
        <f>L_CViec!#REF!</f>
        <v>#REF!</v>
      </c>
      <c r="K55" s="707" t="e">
        <f>G55*$J55*L_CBac!$G$68</f>
        <v>#REF!</v>
      </c>
      <c r="L55" s="707" t="e">
        <f>H55*$J55*L_CBac!$G$68</f>
        <v>#REF!</v>
      </c>
      <c r="M55" s="707" t="e">
        <f>I55*$J55*L_CBac!$G$68</f>
        <v>#REF!</v>
      </c>
      <c r="N55" s="707" t="e">
        <f>$D55*G55*L_CBac!$J$68</f>
        <v>#REF!</v>
      </c>
      <c r="O55" s="707" t="e">
        <f>$D55*H55*L_CBac!$J$68</f>
        <v>#REF!</v>
      </c>
      <c r="P55" s="707" t="e">
        <f>$D55*I55*L_CBac!$J$68</f>
        <v>#REF!</v>
      </c>
      <c r="Q55" s="556" t="e">
        <f>$D55*G55*L_CBac!$J$69</f>
        <v>#REF!</v>
      </c>
      <c r="R55" s="556" t="e">
        <f>$D55*H55*L_CBac!$J$69</f>
        <v>#REF!</v>
      </c>
      <c r="S55" s="557" t="e">
        <f>$D55*I55*L_CBac!$J$69</f>
        <v>#REF!</v>
      </c>
    </row>
    <row r="56" spans="1:19" s="558" customFormat="1" ht="20.100000000000001" customHeight="1">
      <c r="A56" s="553" t="e">
        <f>L_CViec!#REF!</f>
        <v>#REF!</v>
      </c>
      <c r="B56" s="574" t="e">
        <f>L_CViec!#REF!</f>
        <v>#REF!</v>
      </c>
      <c r="C56" s="555" t="e">
        <f>L_CViec!#REF!</f>
        <v>#REF!</v>
      </c>
      <c r="D56" s="555" t="e">
        <f>L_CViec!#REF!</f>
        <v>#REF!</v>
      </c>
      <c r="E56" s="555" t="e">
        <f>L_CViec!#REF!</f>
        <v>#REF!</v>
      </c>
      <c r="F56" s="555" t="e">
        <f>L_CViec!#REF!</f>
        <v>#REF!</v>
      </c>
      <c r="G56" s="555" t="e">
        <f>L_CViec!#REF!</f>
        <v>#REF!</v>
      </c>
      <c r="H56" s="706" t="e">
        <f>L_CViec!#REF!</f>
        <v>#REF!</v>
      </c>
      <c r="I56" s="706" t="e">
        <f>L_CViec!#REF!</f>
        <v>#REF!</v>
      </c>
      <c r="J56" s="556" t="e">
        <f>L_CViec!#REF!</f>
        <v>#REF!</v>
      </c>
      <c r="K56" s="707" t="e">
        <f>G56*$J56*L_CBac!$G$68</f>
        <v>#REF!</v>
      </c>
      <c r="L56" s="707" t="e">
        <f>H56*$J56*L_CBac!$G$68</f>
        <v>#REF!</v>
      </c>
      <c r="M56" s="707" t="e">
        <f>I56*$J56*L_CBac!$G$68</f>
        <v>#REF!</v>
      </c>
      <c r="N56" s="707" t="e">
        <f>$D56*G56*L_CBac!$J$68</f>
        <v>#REF!</v>
      </c>
      <c r="O56" s="707" t="e">
        <f>$D56*H56*L_CBac!$J$68</f>
        <v>#REF!</v>
      </c>
      <c r="P56" s="707" t="e">
        <f>$D56*I56*L_CBac!$J$68</f>
        <v>#REF!</v>
      </c>
      <c r="Q56" s="556" t="e">
        <f>$D56*G56*L_CBac!$J$69</f>
        <v>#REF!</v>
      </c>
      <c r="R56" s="556" t="e">
        <f>$D56*H56*L_CBac!$J$69</f>
        <v>#REF!</v>
      </c>
      <c r="S56" s="557" t="e">
        <f>$D56*I56*L_CBac!$J$69</f>
        <v>#REF!</v>
      </c>
    </row>
    <row r="57" spans="1:19" s="552" customFormat="1" ht="48.75" customHeight="1">
      <c r="A57" s="546" t="e">
        <f>L_CViec!#REF!</f>
        <v>#REF!</v>
      </c>
      <c r="B57" s="559" t="e">
        <f>L_CViec!#REF!</f>
        <v>#REF!</v>
      </c>
      <c r="C57" s="548" t="e">
        <f>L_CViec!#REF!</f>
        <v>#REF!</v>
      </c>
      <c r="D57" s="548" t="e">
        <f>L_CViec!#REF!</f>
        <v>#REF!</v>
      </c>
      <c r="E57" s="548" t="e">
        <f>L_CViec!#REF!</f>
        <v>#REF!</v>
      </c>
      <c r="F57" s="548" t="e">
        <f>L_CViec!#REF!</f>
        <v>#REF!</v>
      </c>
      <c r="G57" s="548" t="e">
        <f>L_CViec!#REF!</f>
        <v>#REF!</v>
      </c>
      <c r="H57" s="704" t="e">
        <f>L_CViec!#REF!</f>
        <v>#REF!</v>
      </c>
      <c r="I57" s="704" t="e">
        <f>L_CViec!#REF!</f>
        <v>#REF!</v>
      </c>
      <c r="J57" s="550" t="e">
        <f>L_CViec!#REF!</f>
        <v>#REF!</v>
      </c>
      <c r="K57" s="705"/>
      <c r="L57" s="705"/>
      <c r="M57" s="705"/>
      <c r="N57" s="705"/>
      <c r="O57" s="705"/>
      <c r="P57" s="705"/>
      <c r="Q57" s="550"/>
      <c r="R57" s="550"/>
      <c r="S57" s="551"/>
    </row>
    <row r="58" spans="1:19" s="558" customFormat="1" ht="15">
      <c r="A58" s="553" t="e">
        <f>L_CViec!#REF!</f>
        <v>#REF!</v>
      </c>
      <c r="B58" s="574" t="e">
        <f>L_CViec!#REF!</f>
        <v>#REF!</v>
      </c>
      <c r="C58" s="555" t="e">
        <f>L_CViec!#REF!</f>
        <v>#REF!</v>
      </c>
      <c r="D58" s="555" t="e">
        <f>L_CViec!#REF!</f>
        <v>#REF!</v>
      </c>
      <c r="E58" s="555" t="e">
        <f>L_CViec!#REF!</f>
        <v>#REF!</v>
      </c>
      <c r="F58" s="555" t="e">
        <f>L_CViec!#REF!</f>
        <v>#REF!</v>
      </c>
      <c r="G58" s="555" t="e">
        <f>L_CViec!#REF!</f>
        <v>#REF!</v>
      </c>
      <c r="H58" s="706" t="e">
        <f>L_CViec!#REF!</f>
        <v>#REF!</v>
      </c>
      <c r="I58" s="706" t="e">
        <f>L_CViec!#REF!</f>
        <v>#REF!</v>
      </c>
      <c r="J58" s="556" t="e">
        <f>L_CViec!#REF!</f>
        <v>#REF!</v>
      </c>
      <c r="K58" s="707" t="e">
        <f>G58*$J58*L_CBac!$G$68</f>
        <v>#REF!</v>
      </c>
      <c r="L58" s="707" t="e">
        <f>H58*$J58*L_CBac!$G$68</f>
        <v>#REF!</v>
      </c>
      <c r="M58" s="707" t="e">
        <f>I58*$J58*L_CBac!$G$68</f>
        <v>#REF!</v>
      </c>
      <c r="N58" s="707" t="e">
        <f>$D58*G58*L_CBac!$J$68</f>
        <v>#REF!</v>
      </c>
      <c r="O58" s="707" t="e">
        <f>$D58*H58*L_CBac!$J$68</f>
        <v>#REF!</v>
      </c>
      <c r="P58" s="707" t="e">
        <f>$D58*I58*L_CBac!$J$68</f>
        <v>#REF!</v>
      </c>
      <c r="Q58" s="556" t="e">
        <f>$D58*G58*L_CBac!$J$69</f>
        <v>#REF!</v>
      </c>
      <c r="R58" s="556" t="e">
        <f>$D58*H58*L_CBac!$J$69</f>
        <v>#REF!</v>
      </c>
      <c r="S58" s="557" t="e">
        <f>$D58*I58*L_CBac!$J$69</f>
        <v>#REF!</v>
      </c>
    </row>
    <row r="59" spans="1:19" s="558" customFormat="1" ht="15">
      <c r="A59" s="553" t="e">
        <f>L_CViec!#REF!</f>
        <v>#REF!</v>
      </c>
      <c r="B59" s="574" t="e">
        <f>L_CViec!#REF!</f>
        <v>#REF!</v>
      </c>
      <c r="C59" s="555" t="e">
        <f>L_CViec!#REF!</f>
        <v>#REF!</v>
      </c>
      <c r="D59" s="555" t="e">
        <f>L_CViec!#REF!</f>
        <v>#REF!</v>
      </c>
      <c r="E59" s="555" t="e">
        <f>L_CViec!#REF!</f>
        <v>#REF!</v>
      </c>
      <c r="F59" s="555" t="e">
        <f>L_CViec!#REF!</f>
        <v>#REF!</v>
      </c>
      <c r="G59" s="555" t="e">
        <f>L_CViec!#REF!</f>
        <v>#REF!</v>
      </c>
      <c r="H59" s="706" t="e">
        <f>L_CViec!#REF!</f>
        <v>#REF!</v>
      </c>
      <c r="I59" s="706" t="e">
        <f>L_CViec!#REF!</f>
        <v>#REF!</v>
      </c>
      <c r="J59" s="556" t="e">
        <f>L_CViec!#REF!</f>
        <v>#REF!</v>
      </c>
      <c r="K59" s="707" t="e">
        <f>G59*$J59*L_CBac!$G$68</f>
        <v>#REF!</v>
      </c>
      <c r="L59" s="707" t="e">
        <f>H59*$J59*L_CBac!$G$68</f>
        <v>#REF!</v>
      </c>
      <c r="M59" s="707" t="e">
        <f>I59*$J59*L_CBac!$G$68</f>
        <v>#REF!</v>
      </c>
      <c r="N59" s="707" t="e">
        <f>$D59*G59*L_CBac!$J$68</f>
        <v>#REF!</v>
      </c>
      <c r="O59" s="707" t="e">
        <f>$D59*H59*L_CBac!$J$68</f>
        <v>#REF!</v>
      </c>
      <c r="P59" s="707" t="e">
        <f>$D59*I59*L_CBac!$J$68</f>
        <v>#REF!</v>
      </c>
      <c r="Q59" s="556" t="e">
        <f>$D59*G59*L_CBac!$J$69</f>
        <v>#REF!</v>
      </c>
      <c r="R59" s="556" t="e">
        <f>$D59*H59*L_CBac!$J$69</f>
        <v>#REF!</v>
      </c>
      <c r="S59" s="557" t="e">
        <f>$D59*I59*L_CBac!$J$69</f>
        <v>#REF!</v>
      </c>
    </row>
    <row r="60" spans="1:19" s="552" customFormat="1" ht="15">
      <c r="A60" s="546" t="e">
        <f>L_CViec!#REF!</f>
        <v>#REF!</v>
      </c>
      <c r="B60" s="559" t="e">
        <f>L_CViec!#REF!</f>
        <v>#REF!</v>
      </c>
      <c r="C60" s="559" t="e">
        <f>L_CViec!#REF!</f>
        <v>#REF!</v>
      </c>
      <c r="D60" s="559" t="e">
        <f>L_CViec!#REF!</f>
        <v>#REF!</v>
      </c>
      <c r="E60" s="559" t="e">
        <f>L_CViec!#REF!</f>
        <v>#REF!</v>
      </c>
      <c r="F60" s="548" t="e">
        <f>L_CViec!#REF!</f>
        <v>#REF!</v>
      </c>
      <c r="G60" s="559" t="e">
        <f>L_CViec!#REF!</f>
        <v>#REF!</v>
      </c>
      <c r="H60" s="704" t="e">
        <f>L_CViec!#REF!</f>
        <v>#REF!</v>
      </c>
      <c r="I60" s="704" t="e">
        <f>L_CViec!#REF!</f>
        <v>#REF!</v>
      </c>
      <c r="J60" s="550" t="e">
        <f>L_CViec!#REF!</f>
        <v>#REF!</v>
      </c>
      <c r="K60" s="705" t="e">
        <f>K62+K65</f>
        <v>#REF!</v>
      </c>
      <c r="L60" s="705" t="e">
        <f t="shared" ref="L60:S60" si="8">L62+L65</f>
        <v>#REF!</v>
      </c>
      <c r="M60" s="705" t="e">
        <f t="shared" si="8"/>
        <v>#REF!</v>
      </c>
      <c r="N60" s="705" t="e">
        <f t="shared" si="8"/>
        <v>#REF!</v>
      </c>
      <c r="O60" s="705" t="e">
        <f t="shared" si="8"/>
        <v>#REF!</v>
      </c>
      <c r="P60" s="705" t="e">
        <f t="shared" si="8"/>
        <v>#REF!</v>
      </c>
      <c r="Q60" s="550" t="e">
        <f t="shared" si="8"/>
        <v>#REF!</v>
      </c>
      <c r="R60" s="550" t="e">
        <f t="shared" si="8"/>
        <v>#REF!</v>
      </c>
      <c r="S60" s="551" t="e">
        <f t="shared" si="8"/>
        <v>#REF!</v>
      </c>
    </row>
    <row r="61" spans="1:19" s="558" customFormat="1" ht="59.25" customHeight="1">
      <c r="A61" s="553" t="e">
        <f>L_CViec!#REF!</f>
        <v>#REF!</v>
      </c>
      <c r="B61" s="1823" t="e">
        <f>L_CViec!#REF!</f>
        <v>#REF!</v>
      </c>
      <c r="C61" s="1824"/>
      <c r="D61" s="1824"/>
      <c r="E61" s="1824"/>
      <c r="F61" s="1825"/>
      <c r="G61" s="555" t="e">
        <f>L_CViec!#REF!</f>
        <v>#REF!</v>
      </c>
      <c r="H61" s="706" t="e">
        <f>L_CViec!#REF!</f>
        <v>#REF!</v>
      </c>
      <c r="I61" s="706" t="e">
        <f>L_CViec!#REF!</f>
        <v>#REF!</v>
      </c>
      <c r="J61" s="556" t="e">
        <f>L_CViec!#REF!</f>
        <v>#REF!</v>
      </c>
      <c r="K61" s="707"/>
      <c r="L61" s="707"/>
      <c r="M61" s="707"/>
      <c r="N61" s="707"/>
      <c r="O61" s="707"/>
      <c r="P61" s="707"/>
      <c r="Q61" s="556"/>
      <c r="R61" s="556"/>
      <c r="S61" s="557"/>
    </row>
    <row r="62" spans="1:19" s="558" customFormat="1" ht="20.100000000000001" customHeight="1">
      <c r="A62" s="553" t="e">
        <f>L_CViec!#REF!</f>
        <v>#REF!</v>
      </c>
      <c r="B62" s="574" t="e">
        <f>L_CViec!#REF!</f>
        <v>#REF!</v>
      </c>
      <c r="C62" s="555" t="e">
        <f>L_CViec!#REF!</f>
        <v>#REF!</v>
      </c>
      <c r="D62" s="555" t="e">
        <f>L_CViec!#REF!</f>
        <v>#REF!</v>
      </c>
      <c r="E62" s="555" t="e">
        <f>L_CViec!#REF!</f>
        <v>#REF!</v>
      </c>
      <c r="F62" s="555" t="e">
        <f>L_CViec!#REF!</f>
        <v>#REF!</v>
      </c>
      <c r="G62" s="555" t="e">
        <f>L_CViec!#REF!</f>
        <v>#REF!</v>
      </c>
      <c r="H62" s="706" t="e">
        <f>L_CViec!#REF!</f>
        <v>#REF!</v>
      </c>
      <c r="I62" s="706" t="e">
        <f>L_CViec!#REF!</f>
        <v>#REF!</v>
      </c>
      <c r="J62" s="556" t="e">
        <f>L_CViec!#REF!</f>
        <v>#REF!</v>
      </c>
      <c r="K62" s="707" t="e">
        <f>G62*$J62*L_CBac!$G$68</f>
        <v>#REF!</v>
      </c>
      <c r="L62" s="707" t="e">
        <f>H62*$J62*L_CBac!$G$68</f>
        <v>#REF!</v>
      </c>
      <c r="M62" s="707" t="e">
        <f>I62*$J62*L_CBac!$G$68</f>
        <v>#REF!</v>
      </c>
      <c r="N62" s="707" t="e">
        <f>$D62*G62*L_CBac!$J$68</f>
        <v>#REF!</v>
      </c>
      <c r="O62" s="707" t="e">
        <f>$D62*H62*L_CBac!$J$68</f>
        <v>#REF!</v>
      </c>
      <c r="P62" s="707" t="e">
        <f>$D62*I62*L_CBac!$J$68</f>
        <v>#REF!</v>
      </c>
      <c r="Q62" s="556" t="e">
        <f>$D62*G62*L_CBac!$J$69</f>
        <v>#REF!</v>
      </c>
      <c r="R62" s="556" t="e">
        <f>$D62*H62*L_CBac!$J$69</f>
        <v>#REF!</v>
      </c>
      <c r="S62" s="557" t="e">
        <f>$D62*I62*L_CBac!$J$69</f>
        <v>#REF!</v>
      </c>
    </row>
    <row r="63" spans="1:19" s="558" customFormat="1" ht="20.100000000000001" customHeight="1">
      <c r="A63" s="553" t="e">
        <f>L_CViec!#REF!</f>
        <v>#REF!</v>
      </c>
      <c r="B63" s="574" t="e">
        <f>L_CViec!#REF!</f>
        <v>#REF!</v>
      </c>
      <c r="C63" s="555" t="e">
        <f>L_CViec!#REF!</f>
        <v>#REF!</v>
      </c>
      <c r="D63" s="555" t="e">
        <f>L_CViec!#REF!</f>
        <v>#REF!</v>
      </c>
      <c r="E63" s="555" t="e">
        <f>L_CViec!#REF!</f>
        <v>#REF!</v>
      </c>
      <c r="F63" s="555" t="e">
        <f>L_CViec!#REF!</f>
        <v>#REF!</v>
      </c>
      <c r="G63" s="555" t="e">
        <f>L_CViec!#REF!</f>
        <v>#REF!</v>
      </c>
      <c r="H63" s="706" t="e">
        <f>L_CViec!#REF!</f>
        <v>#REF!</v>
      </c>
      <c r="I63" s="706" t="e">
        <f>L_CViec!#REF!</f>
        <v>#REF!</v>
      </c>
      <c r="J63" s="556" t="e">
        <f>L_CViec!#REF!</f>
        <v>#REF!</v>
      </c>
      <c r="K63" s="707" t="e">
        <f>G63*$J63*L_CBac!$G$68</f>
        <v>#REF!</v>
      </c>
      <c r="L63" s="707" t="e">
        <f>H63*$J63*L_CBac!$G$68</f>
        <v>#REF!</v>
      </c>
      <c r="M63" s="707" t="e">
        <f>I63*$J63*L_CBac!$G$68</f>
        <v>#REF!</v>
      </c>
      <c r="N63" s="707" t="e">
        <f>$D63*G63*L_CBac!$J$68</f>
        <v>#REF!</v>
      </c>
      <c r="O63" s="707" t="e">
        <f>$D63*H63*L_CBac!$J$68</f>
        <v>#REF!</v>
      </c>
      <c r="P63" s="707" t="e">
        <f>$D63*I63*L_CBac!$J$68</f>
        <v>#REF!</v>
      </c>
      <c r="Q63" s="556" t="e">
        <f>$D63*G63*L_CBac!$J$69</f>
        <v>#REF!</v>
      </c>
      <c r="R63" s="556" t="e">
        <f>$D63*H63*L_CBac!$J$69</f>
        <v>#REF!</v>
      </c>
      <c r="S63" s="557" t="e">
        <f>$D63*I63*L_CBac!$J$69</f>
        <v>#REF!</v>
      </c>
    </row>
    <row r="64" spans="1:19" s="558" customFormat="1" ht="15">
      <c r="A64" s="553" t="e">
        <f>L_CViec!#REF!</f>
        <v>#REF!</v>
      </c>
      <c r="B64" s="574" t="e">
        <f>L_CViec!#REF!</f>
        <v>#REF!</v>
      </c>
      <c r="C64" s="555" t="e">
        <f>L_CViec!#REF!</f>
        <v>#REF!</v>
      </c>
      <c r="D64" s="555" t="e">
        <f>L_CViec!#REF!</f>
        <v>#REF!</v>
      </c>
      <c r="E64" s="555" t="e">
        <f>L_CViec!#REF!</f>
        <v>#REF!</v>
      </c>
      <c r="F64" s="555" t="e">
        <f>L_CViec!#REF!</f>
        <v>#REF!</v>
      </c>
      <c r="G64" s="555" t="e">
        <f>L_CViec!#REF!</f>
        <v>#REF!</v>
      </c>
      <c r="H64" s="706" t="e">
        <f>L_CViec!#REF!</f>
        <v>#REF!</v>
      </c>
      <c r="I64" s="706" t="e">
        <f>L_CViec!#REF!</f>
        <v>#REF!</v>
      </c>
      <c r="J64" s="556" t="e">
        <f>L_CViec!#REF!</f>
        <v>#REF!</v>
      </c>
      <c r="K64" s="707"/>
      <c r="L64" s="707"/>
      <c r="M64" s="707"/>
      <c r="N64" s="707"/>
      <c r="O64" s="707"/>
      <c r="P64" s="707"/>
      <c r="Q64" s="556"/>
      <c r="R64" s="556"/>
      <c r="S64" s="557"/>
    </row>
    <row r="65" spans="1:19" s="558" customFormat="1" ht="20.100000000000001" customHeight="1">
      <c r="A65" s="553" t="e">
        <f>L_CViec!#REF!</f>
        <v>#REF!</v>
      </c>
      <c r="B65" s="574" t="e">
        <f>L_CViec!#REF!</f>
        <v>#REF!</v>
      </c>
      <c r="C65" s="555" t="e">
        <f>L_CViec!#REF!</f>
        <v>#REF!</v>
      </c>
      <c r="D65" s="555" t="e">
        <f>L_CViec!#REF!</f>
        <v>#REF!</v>
      </c>
      <c r="E65" s="555" t="e">
        <f>L_CViec!#REF!</f>
        <v>#REF!</v>
      </c>
      <c r="F65" s="555" t="e">
        <f>L_CViec!#REF!</f>
        <v>#REF!</v>
      </c>
      <c r="G65" s="555" t="e">
        <f>L_CViec!#REF!</f>
        <v>#REF!</v>
      </c>
      <c r="H65" s="706" t="e">
        <f>L_CViec!#REF!</f>
        <v>#REF!</v>
      </c>
      <c r="I65" s="706" t="e">
        <f>L_CViec!#REF!</f>
        <v>#REF!</v>
      </c>
      <c r="J65" s="556" t="e">
        <f>L_CViec!#REF!</f>
        <v>#REF!</v>
      </c>
      <c r="K65" s="707" t="e">
        <f>G65*$J65*L_CBac!$G$68</f>
        <v>#REF!</v>
      </c>
      <c r="L65" s="707" t="e">
        <f>H65*$J65*L_CBac!$G$68</f>
        <v>#REF!</v>
      </c>
      <c r="M65" s="707" t="e">
        <f>I65*$J65*L_CBac!$G$68</f>
        <v>#REF!</v>
      </c>
      <c r="N65" s="707" t="e">
        <f>$D65*G65*L_CBac!$J$68</f>
        <v>#REF!</v>
      </c>
      <c r="O65" s="707" t="e">
        <f>$D65*H65*L_CBac!$J$68</f>
        <v>#REF!</v>
      </c>
      <c r="P65" s="707" t="e">
        <f>$D65*I65*L_CBac!$J$68</f>
        <v>#REF!</v>
      </c>
      <c r="Q65" s="556" t="e">
        <f>$D65*G65*L_CBac!$J$69</f>
        <v>#REF!</v>
      </c>
      <c r="R65" s="556" t="e">
        <f>$D65*H65*L_CBac!$J$69</f>
        <v>#REF!</v>
      </c>
      <c r="S65" s="557" t="e">
        <f>$D65*I65*L_CBac!$J$69</f>
        <v>#REF!</v>
      </c>
    </row>
    <row r="66" spans="1:19" s="558" customFormat="1" ht="20.100000000000001" customHeight="1">
      <c r="A66" s="553" t="e">
        <f>L_CViec!#REF!</f>
        <v>#REF!</v>
      </c>
      <c r="B66" s="574" t="e">
        <f>L_CViec!#REF!</f>
        <v>#REF!</v>
      </c>
      <c r="C66" s="555" t="e">
        <f>L_CViec!#REF!</f>
        <v>#REF!</v>
      </c>
      <c r="D66" s="555" t="e">
        <f>L_CViec!#REF!</f>
        <v>#REF!</v>
      </c>
      <c r="E66" s="555" t="e">
        <f>L_CViec!#REF!</f>
        <v>#REF!</v>
      </c>
      <c r="F66" s="555" t="e">
        <f>L_CViec!#REF!</f>
        <v>#REF!</v>
      </c>
      <c r="G66" s="555" t="e">
        <f>L_CViec!#REF!</f>
        <v>#REF!</v>
      </c>
      <c r="H66" s="706" t="e">
        <f>L_CViec!#REF!</f>
        <v>#REF!</v>
      </c>
      <c r="I66" s="706" t="e">
        <f>L_CViec!#REF!</f>
        <v>#REF!</v>
      </c>
      <c r="J66" s="556" t="e">
        <f>L_CViec!#REF!</f>
        <v>#REF!</v>
      </c>
      <c r="K66" s="707" t="e">
        <f>G66*$J66*L_CBac!$G$68</f>
        <v>#REF!</v>
      </c>
      <c r="L66" s="707" t="e">
        <f>H66*$J66*L_CBac!$G$68</f>
        <v>#REF!</v>
      </c>
      <c r="M66" s="707" t="e">
        <f>I66*$J66*L_CBac!$G$68</f>
        <v>#REF!</v>
      </c>
      <c r="N66" s="707" t="e">
        <f>$D66*G66*L_CBac!$J$68</f>
        <v>#REF!</v>
      </c>
      <c r="O66" s="707" t="e">
        <f>$D66*H66*L_CBac!$J$68</f>
        <v>#REF!</v>
      </c>
      <c r="P66" s="707" t="e">
        <f>$D66*I66*L_CBac!$J$68</f>
        <v>#REF!</v>
      </c>
      <c r="Q66" s="556" t="e">
        <f>$D66*G66*L_CBac!$J$69</f>
        <v>#REF!</v>
      </c>
      <c r="R66" s="556" t="e">
        <f>$D66*H66*L_CBac!$J$69</f>
        <v>#REF!</v>
      </c>
      <c r="S66" s="557" t="e">
        <f>$D66*I66*L_CBac!$J$69</f>
        <v>#REF!</v>
      </c>
    </row>
    <row r="67" spans="1:19" s="552" customFormat="1" ht="15">
      <c r="A67" s="546" t="e">
        <f>L_CViec!#REF!</f>
        <v>#REF!</v>
      </c>
      <c r="B67" s="559" t="e">
        <f>L_CViec!#REF!</f>
        <v>#REF!</v>
      </c>
      <c r="C67" s="548" t="e">
        <f>L_CViec!#REF!</f>
        <v>#REF!</v>
      </c>
      <c r="D67" s="548" t="e">
        <f>L_CViec!#REF!</f>
        <v>#REF!</v>
      </c>
      <c r="E67" s="548" t="e">
        <f>L_CViec!#REF!</f>
        <v>#REF!</v>
      </c>
      <c r="F67" s="548" t="e">
        <f>L_CViec!#REF!</f>
        <v>#REF!</v>
      </c>
      <c r="G67" s="548" t="e">
        <f>L_CViec!#REF!</f>
        <v>#REF!</v>
      </c>
      <c r="H67" s="704" t="e">
        <f>L_CViec!#REF!</f>
        <v>#REF!</v>
      </c>
      <c r="I67" s="704" t="e">
        <f>L_CViec!#REF!</f>
        <v>#REF!</v>
      </c>
      <c r="J67" s="550" t="e">
        <f>L_CViec!#REF!</f>
        <v>#REF!</v>
      </c>
      <c r="K67" s="705" t="e">
        <f>G67*$J67*L_CBac!$G$68</f>
        <v>#REF!</v>
      </c>
      <c r="L67" s="705" t="e">
        <f>H67*$J67*L_CBac!$G$68</f>
        <v>#REF!</v>
      </c>
      <c r="M67" s="705" t="e">
        <f>I67*$J67*L_CBac!$G$68</f>
        <v>#REF!</v>
      </c>
      <c r="N67" s="705" t="e">
        <f>$D67*G67*L_CBac!$J$68</f>
        <v>#REF!</v>
      </c>
      <c r="O67" s="705" t="e">
        <f>$D67*H67*L_CBac!$J$68</f>
        <v>#REF!</v>
      </c>
      <c r="P67" s="705" t="e">
        <f>$D67*I67*L_CBac!$J$68</f>
        <v>#REF!</v>
      </c>
      <c r="Q67" s="550" t="e">
        <f>$D67*G67*L_CBac!$J$69</f>
        <v>#REF!</v>
      </c>
      <c r="R67" s="550" t="e">
        <f>$D67*H67*L_CBac!$J$69</f>
        <v>#REF!</v>
      </c>
      <c r="S67" s="551" t="e">
        <f>$D67*I67*L_CBac!$J$69</f>
        <v>#REF!</v>
      </c>
    </row>
    <row r="68" spans="1:19" s="552" customFormat="1" ht="15">
      <c r="A68" s="546" t="e">
        <f>L_CViec!#REF!</f>
        <v>#REF!</v>
      </c>
      <c r="B68" s="559" t="e">
        <f>L_CViec!#REF!</f>
        <v>#REF!</v>
      </c>
      <c r="C68" s="548" t="e">
        <f>L_CViec!#REF!</f>
        <v>#REF!</v>
      </c>
      <c r="D68" s="548" t="e">
        <f>L_CViec!#REF!</f>
        <v>#REF!</v>
      </c>
      <c r="E68" s="548" t="e">
        <f>L_CViec!#REF!</f>
        <v>#REF!</v>
      </c>
      <c r="F68" s="548" t="e">
        <f>L_CViec!#REF!</f>
        <v>#REF!</v>
      </c>
      <c r="G68" s="548" t="e">
        <f>L_CViec!#REF!</f>
        <v>#REF!</v>
      </c>
      <c r="H68" s="704" t="e">
        <f>L_CViec!#REF!</f>
        <v>#REF!</v>
      </c>
      <c r="I68" s="704" t="e">
        <f>L_CViec!#REF!</f>
        <v>#REF!</v>
      </c>
      <c r="J68" s="550" t="e">
        <f>L_CViec!#REF!</f>
        <v>#REF!</v>
      </c>
      <c r="K68" s="705" t="e">
        <f>G68*$J68*L_CBac!$G$68</f>
        <v>#REF!</v>
      </c>
      <c r="L68" s="705" t="e">
        <f>H68*$J68*L_CBac!$G$68</f>
        <v>#REF!</v>
      </c>
      <c r="M68" s="705" t="e">
        <f>I68*$J68*L_CBac!$G$68</f>
        <v>#REF!</v>
      </c>
      <c r="N68" s="705" t="e">
        <f>$D68*G68*L_CBac!$J$68</f>
        <v>#REF!</v>
      </c>
      <c r="O68" s="705" t="e">
        <f>$D68*H68*L_CBac!$J$68</f>
        <v>#REF!</v>
      </c>
      <c r="P68" s="705" t="e">
        <f>$D68*I68*L_CBac!$J$68</f>
        <v>#REF!</v>
      </c>
      <c r="Q68" s="550" t="e">
        <f>$D68*G68*L_CBac!$J$69</f>
        <v>#REF!</v>
      </c>
      <c r="R68" s="550" t="e">
        <f>$D68*H68*L_CBac!$J$69</f>
        <v>#REF!</v>
      </c>
      <c r="S68" s="551" t="e">
        <f>$D68*I68*L_CBac!$J$69</f>
        <v>#REF!</v>
      </c>
    </row>
    <row r="69" spans="1:19" s="552" customFormat="1" ht="20.100000000000001" customHeight="1">
      <c r="A69" s="546" t="e">
        <f>L_CViec!#REF!</f>
        <v>#REF!</v>
      </c>
      <c r="B69" s="559" t="e">
        <f>L_CViec!#REF!</f>
        <v>#REF!</v>
      </c>
      <c r="C69" s="548" t="e">
        <f>L_CViec!#REF!</f>
        <v>#REF!</v>
      </c>
      <c r="D69" s="548" t="e">
        <f>L_CViec!#REF!</f>
        <v>#REF!</v>
      </c>
      <c r="E69" s="548" t="e">
        <f>L_CViec!#REF!</f>
        <v>#REF!</v>
      </c>
      <c r="F69" s="548" t="e">
        <f>L_CViec!#REF!</f>
        <v>#REF!</v>
      </c>
      <c r="G69" s="548" t="e">
        <f>L_CViec!#REF!</f>
        <v>#REF!</v>
      </c>
      <c r="H69" s="704" t="e">
        <f>L_CViec!#REF!</f>
        <v>#REF!</v>
      </c>
      <c r="I69" s="704" t="e">
        <f>L_CViec!#REF!</f>
        <v>#REF!</v>
      </c>
      <c r="J69" s="550" t="e">
        <f>L_CViec!#REF!</f>
        <v>#REF!</v>
      </c>
      <c r="K69" s="705"/>
      <c r="L69" s="705"/>
      <c r="M69" s="705"/>
      <c r="N69" s="705"/>
      <c r="O69" s="705"/>
      <c r="P69" s="705"/>
      <c r="Q69" s="550"/>
      <c r="R69" s="550"/>
      <c r="S69" s="551"/>
    </row>
    <row r="70" spans="1:19" s="558" customFormat="1" ht="20.100000000000001" customHeight="1">
      <c r="A70" s="553" t="e">
        <f>L_CViec!#REF!</f>
        <v>#REF!</v>
      </c>
      <c r="B70" s="574" t="e">
        <f>L_CViec!#REF!</f>
        <v>#REF!</v>
      </c>
      <c r="C70" s="555" t="e">
        <f>L_CViec!#REF!</f>
        <v>#REF!</v>
      </c>
      <c r="D70" s="555" t="e">
        <f>L_CViec!#REF!</f>
        <v>#REF!</v>
      </c>
      <c r="E70" s="555" t="e">
        <f>L_CViec!#REF!</f>
        <v>#REF!</v>
      </c>
      <c r="F70" s="555" t="e">
        <f>L_CViec!#REF!</f>
        <v>#REF!</v>
      </c>
      <c r="G70" s="555" t="e">
        <f>L_CViec!#REF!</f>
        <v>#REF!</v>
      </c>
      <c r="H70" s="706" t="e">
        <f>L_CViec!#REF!</f>
        <v>#REF!</v>
      </c>
      <c r="I70" s="706" t="e">
        <f>L_CViec!#REF!</f>
        <v>#REF!</v>
      </c>
      <c r="J70" s="556" t="e">
        <f>L_CViec!#REF!</f>
        <v>#REF!</v>
      </c>
      <c r="K70" s="707" t="e">
        <f>G70*$J70*L_CBac!$G$68</f>
        <v>#REF!</v>
      </c>
      <c r="L70" s="707" t="e">
        <f>H70*$J70*L_CBac!$G$68</f>
        <v>#REF!</v>
      </c>
      <c r="M70" s="707" t="e">
        <f>I70*$J70*L_CBac!$G$68</f>
        <v>#REF!</v>
      </c>
      <c r="N70" s="707" t="e">
        <f>$D70*G70*L_CBac!$J$68</f>
        <v>#REF!</v>
      </c>
      <c r="O70" s="707" t="e">
        <f>$D70*H70*L_CBac!$J$68</f>
        <v>#REF!</v>
      </c>
      <c r="P70" s="707" t="e">
        <f>$D70*I70*L_CBac!$J$68</f>
        <v>#REF!</v>
      </c>
      <c r="Q70" s="556" t="e">
        <f>$D70*G70*L_CBac!$J$69</f>
        <v>#REF!</v>
      </c>
      <c r="R70" s="556" t="e">
        <f>$D70*H70*L_CBac!$J$69</f>
        <v>#REF!</v>
      </c>
      <c r="S70" s="557" t="e">
        <f>$D70*I70*L_CBac!$J$69</f>
        <v>#REF!</v>
      </c>
    </row>
    <row r="71" spans="1:19" s="558" customFormat="1" ht="20.100000000000001" customHeight="1">
      <c r="A71" s="553" t="e">
        <f>L_CViec!#REF!</f>
        <v>#REF!</v>
      </c>
      <c r="B71" s="574" t="e">
        <f>L_CViec!#REF!</f>
        <v>#REF!</v>
      </c>
      <c r="C71" s="555" t="e">
        <f>L_CViec!#REF!</f>
        <v>#REF!</v>
      </c>
      <c r="D71" s="555" t="e">
        <f>L_CViec!#REF!</f>
        <v>#REF!</v>
      </c>
      <c r="E71" s="555" t="e">
        <f>L_CViec!#REF!</f>
        <v>#REF!</v>
      </c>
      <c r="F71" s="555" t="e">
        <f>L_CViec!#REF!</f>
        <v>#REF!</v>
      </c>
      <c r="G71" s="555" t="e">
        <f>L_CViec!#REF!</f>
        <v>#REF!</v>
      </c>
      <c r="H71" s="706" t="e">
        <f>L_CViec!#REF!</f>
        <v>#REF!</v>
      </c>
      <c r="I71" s="706" t="e">
        <f>L_CViec!#REF!</f>
        <v>#REF!</v>
      </c>
      <c r="J71" s="556" t="e">
        <f>L_CViec!#REF!</f>
        <v>#REF!</v>
      </c>
      <c r="K71" s="707" t="e">
        <f>G71*$J71*L_CBac!$G$68</f>
        <v>#REF!</v>
      </c>
      <c r="L71" s="707" t="e">
        <f>H71*$J71*L_CBac!$G$68</f>
        <v>#REF!</v>
      </c>
      <c r="M71" s="707" t="e">
        <f>I71*$J71*L_CBac!$G$68</f>
        <v>#REF!</v>
      </c>
      <c r="N71" s="707" t="e">
        <f>$D71*G71*L_CBac!$J$68</f>
        <v>#REF!</v>
      </c>
      <c r="O71" s="707" t="e">
        <f>$D71*H71*L_CBac!$J$68</f>
        <v>#REF!</v>
      </c>
      <c r="P71" s="707" t="e">
        <f>$D71*I71*L_CBac!$J$68</f>
        <v>#REF!</v>
      </c>
      <c r="Q71" s="556" t="e">
        <f>$D71*G71*L_CBac!$J$69</f>
        <v>#REF!</v>
      </c>
      <c r="R71" s="556" t="e">
        <f>$D71*H71*L_CBac!$J$69</f>
        <v>#REF!</v>
      </c>
      <c r="S71" s="557" t="e">
        <f>$D71*I71*L_CBac!$J$69</f>
        <v>#REF!</v>
      </c>
    </row>
    <row r="72" spans="1:19" s="552" customFormat="1" ht="15">
      <c r="A72" s="546" t="e">
        <f>L_CViec!#REF!</f>
        <v>#REF!</v>
      </c>
      <c r="B72" s="559" t="e">
        <f>L_CViec!#REF!</f>
        <v>#REF!</v>
      </c>
      <c r="C72" s="548" t="e">
        <f>L_CViec!#REF!</f>
        <v>#REF!</v>
      </c>
      <c r="D72" s="548" t="e">
        <f>L_CViec!#REF!</f>
        <v>#REF!</v>
      </c>
      <c r="E72" s="548" t="e">
        <f>L_CViec!#REF!</f>
        <v>#REF!</v>
      </c>
      <c r="F72" s="548" t="e">
        <f>L_CViec!#REF!</f>
        <v>#REF!</v>
      </c>
      <c r="G72" s="548" t="e">
        <f>L_CViec!#REF!</f>
        <v>#REF!</v>
      </c>
      <c r="H72" s="704" t="e">
        <f>L_CViec!#REF!</f>
        <v>#REF!</v>
      </c>
      <c r="I72" s="704" t="e">
        <f>L_CViec!#REF!</f>
        <v>#REF!</v>
      </c>
      <c r="J72" s="550" t="e">
        <f>L_CViec!#REF!</f>
        <v>#REF!</v>
      </c>
      <c r="K72" s="705" t="e">
        <f>G72*$J72*L_CBac!$G$68</f>
        <v>#REF!</v>
      </c>
      <c r="L72" s="705" t="e">
        <f>H72*$J72*L_CBac!$G$68</f>
        <v>#REF!</v>
      </c>
      <c r="M72" s="705" t="e">
        <f>I72*$J72*L_CBac!$G$68</f>
        <v>#REF!</v>
      </c>
      <c r="N72" s="705" t="e">
        <f>$D72*G72*L_CBac!$J$68</f>
        <v>#REF!</v>
      </c>
      <c r="O72" s="705" t="e">
        <f>$D72*H72*L_CBac!$J$68</f>
        <v>#REF!</v>
      </c>
      <c r="P72" s="705" t="e">
        <f>$D72*I72*L_CBac!$J$68</f>
        <v>#REF!</v>
      </c>
      <c r="Q72" s="550" t="e">
        <f>$D72*G72*L_CBac!$J$69</f>
        <v>#REF!</v>
      </c>
      <c r="R72" s="550" t="e">
        <f>$D72*H72*L_CBac!$J$69</f>
        <v>#REF!</v>
      </c>
      <c r="S72" s="551" t="e">
        <f>$D72*I72*L_CBac!$J$69</f>
        <v>#REF!</v>
      </c>
    </row>
    <row r="73" spans="1:19" s="552" customFormat="1" ht="15">
      <c r="A73" s="546" t="e">
        <f>L_CViec!#REF!</f>
        <v>#REF!</v>
      </c>
      <c r="B73" s="559" t="e">
        <f>L_CViec!#REF!</f>
        <v>#REF!</v>
      </c>
      <c r="C73" s="548" t="e">
        <f>L_CViec!#REF!</f>
        <v>#REF!</v>
      </c>
      <c r="D73" s="548" t="e">
        <f>L_CViec!#REF!</f>
        <v>#REF!</v>
      </c>
      <c r="E73" s="548" t="e">
        <f>L_CViec!#REF!</f>
        <v>#REF!</v>
      </c>
      <c r="F73" s="548" t="e">
        <f>L_CViec!#REF!</f>
        <v>#REF!</v>
      </c>
      <c r="G73" s="548" t="e">
        <f>L_CViec!#REF!</f>
        <v>#REF!</v>
      </c>
      <c r="H73" s="704" t="e">
        <f>L_CViec!#REF!</f>
        <v>#REF!</v>
      </c>
      <c r="I73" s="704" t="e">
        <f>L_CViec!#REF!</f>
        <v>#REF!</v>
      </c>
      <c r="J73" s="550" t="e">
        <f>L_CViec!#REF!</f>
        <v>#REF!</v>
      </c>
      <c r="K73" s="705" t="e">
        <f>G73*$J73*L_CBac!$G$68</f>
        <v>#REF!</v>
      </c>
      <c r="L73" s="705" t="e">
        <f>H73*$J73*L_CBac!$G$68</f>
        <v>#REF!</v>
      </c>
      <c r="M73" s="705" t="e">
        <f>I73*$J73*L_CBac!$G$68</f>
        <v>#REF!</v>
      </c>
      <c r="N73" s="705" t="e">
        <f>$D73*G73*L_CBac!$J$68</f>
        <v>#REF!</v>
      </c>
      <c r="O73" s="705" t="e">
        <f>$D73*H73*L_CBac!$J$68</f>
        <v>#REF!</v>
      </c>
      <c r="P73" s="705" t="e">
        <f>$D73*I73*L_CBac!$J$68</f>
        <v>#REF!</v>
      </c>
      <c r="Q73" s="550" t="e">
        <f>$D73*G73*L_CBac!$J$69</f>
        <v>#REF!</v>
      </c>
      <c r="R73" s="550" t="e">
        <f>$D73*H73*L_CBac!$J$69</f>
        <v>#REF!</v>
      </c>
      <c r="S73" s="551" t="e">
        <f>$D73*I73*L_CBac!$J$69</f>
        <v>#REF!</v>
      </c>
    </row>
    <row r="74" spans="1:19" s="552" customFormat="1" ht="20.100000000000001" customHeight="1">
      <c r="A74" s="546" t="e">
        <f>L_CViec!#REF!</f>
        <v>#REF!</v>
      </c>
      <c r="B74" s="559" t="e">
        <f>L_CViec!#REF!</f>
        <v>#REF!</v>
      </c>
      <c r="C74" s="548" t="e">
        <f>L_CViec!#REF!</f>
        <v>#REF!</v>
      </c>
      <c r="D74" s="548" t="e">
        <f>L_CViec!#REF!</f>
        <v>#REF!</v>
      </c>
      <c r="E74" s="548" t="e">
        <f>L_CViec!#REF!</f>
        <v>#REF!</v>
      </c>
      <c r="F74" s="548" t="e">
        <f>L_CViec!#REF!</f>
        <v>#REF!</v>
      </c>
      <c r="G74" s="548" t="e">
        <f>L_CViec!#REF!</f>
        <v>#REF!</v>
      </c>
      <c r="H74" s="704" t="e">
        <f>L_CViec!#REF!</f>
        <v>#REF!</v>
      </c>
      <c r="I74" s="704" t="e">
        <f>L_CViec!#REF!</f>
        <v>#REF!</v>
      </c>
      <c r="J74" s="550" t="e">
        <f>L_CViec!#REF!</f>
        <v>#REF!</v>
      </c>
      <c r="K74" s="705" t="e">
        <f>G74*$J74*L_CBac!$G$68</f>
        <v>#REF!</v>
      </c>
      <c r="L74" s="705" t="e">
        <f>H74*$J74*L_CBac!$G$68</f>
        <v>#REF!</v>
      </c>
      <c r="M74" s="705" t="e">
        <f>I74*$J74*L_CBac!$G$68</f>
        <v>#REF!</v>
      </c>
      <c r="N74" s="705" t="e">
        <f>$D74*G74*L_CBac!$J$68</f>
        <v>#REF!</v>
      </c>
      <c r="O74" s="705" t="e">
        <f>$D74*H74*L_CBac!$J$68</f>
        <v>#REF!</v>
      </c>
      <c r="P74" s="705" t="e">
        <f>$D74*I74*L_CBac!$J$68</f>
        <v>#REF!</v>
      </c>
      <c r="Q74" s="550" t="e">
        <f>$D74*G74*L_CBac!$J$69</f>
        <v>#REF!</v>
      </c>
      <c r="R74" s="550" t="e">
        <f>$D74*H74*L_CBac!$J$69</f>
        <v>#REF!</v>
      </c>
      <c r="S74" s="551" t="e">
        <f>$D74*I74*L_CBac!$J$69</f>
        <v>#REF!</v>
      </c>
    </row>
    <row r="75" spans="1:19" s="552" customFormat="1" ht="20.100000000000001" customHeight="1">
      <c r="A75" s="546" t="e">
        <f>L_CViec!#REF!</f>
        <v>#REF!</v>
      </c>
      <c r="B75" s="559" t="e">
        <f>L_CViec!#REF!</f>
        <v>#REF!</v>
      </c>
      <c r="C75" s="548" t="e">
        <f>L_CViec!#REF!</f>
        <v>#REF!</v>
      </c>
      <c r="D75" s="548" t="e">
        <f>L_CViec!#REF!</f>
        <v>#REF!</v>
      </c>
      <c r="E75" s="548" t="e">
        <f>L_CViec!#REF!</f>
        <v>#REF!</v>
      </c>
      <c r="F75" s="548" t="e">
        <f>L_CViec!#REF!</f>
        <v>#REF!</v>
      </c>
      <c r="G75" s="548" t="e">
        <f>L_CViec!#REF!</f>
        <v>#REF!</v>
      </c>
      <c r="H75" s="704" t="e">
        <f>L_CViec!#REF!</f>
        <v>#REF!</v>
      </c>
      <c r="I75" s="704" t="e">
        <f>L_CViec!#REF!</f>
        <v>#REF!</v>
      </c>
      <c r="J75" s="550" t="e">
        <f>L_CViec!#REF!</f>
        <v>#REF!</v>
      </c>
      <c r="K75" s="705">
        <f>K76+K79+K80</f>
        <v>25722.999899999999</v>
      </c>
      <c r="L75" s="705">
        <f t="shared" ref="L75:S75" si="9">L76+L79+L80</f>
        <v>25722.999899999999</v>
      </c>
      <c r="M75" s="705">
        <f t="shared" si="9"/>
        <v>32303.302199999995</v>
      </c>
      <c r="N75" s="705">
        <f t="shared" si="9"/>
        <v>971.45100000000002</v>
      </c>
      <c r="O75" s="705">
        <f t="shared" si="9"/>
        <v>971.45100000000002</v>
      </c>
      <c r="P75" s="705">
        <f t="shared" si="9"/>
        <v>1227.096</v>
      </c>
      <c r="Q75" s="550">
        <f t="shared" si="9"/>
        <v>1066.9230769230769</v>
      </c>
      <c r="R75" s="550">
        <f t="shared" si="9"/>
        <v>1066.9230769230769</v>
      </c>
      <c r="S75" s="551">
        <f t="shared" si="9"/>
        <v>1347.6923076923076</v>
      </c>
    </row>
    <row r="76" spans="1:19" s="558" customFormat="1" ht="30">
      <c r="A76" s="553" t="str">
        <f>L_CViec!A146</f>
        <v>26</v>
      </c>
      <c r="B76" s="574" t="str">
        <f>L_CViec!B146</f>
        <v>Quét bổ sung các giấy tờ trong hồ sơ đăng ký đất đai</v>
      </c>
      <c r="C76" s="555">
        <f>L_CViec!AB146</f>
        <v>0</v>
      </c>
      <c r="D76" s="555">
        <f>L_CViec!AA146</f>
        <v>0</v>
      </c>
      <c r="E76" s="555">
        <f>L_CViec!AC146</f>
        <v>0</v>
      </c>
      <c r="F76" s="555">
        <f>L_CViec!AD146</f>
        <v>0</v>
      </c>
      <c r="G76" s="555">
        <f>L_CViec!AE146</f>
        <v>0</v>
      </c>
      <c r="H76" s="706">
        <f>L_CViec!AF146</f>
        <v>0</v>
      </c>
      <c r="I76" s="706">
        <f>L_CViec!AG146</f>
        <v>0</v>
      </c>
      <c r="J76" s="556">
        <f>L_CViec!AH146</f>
        <v>0</v>
      </c>
      <c r="K76" s="707">
        <f t="shared" ref="K76:S76" si="10">SUM(K77:K78)</f>
        <v>16749.860399999998</v>
      </c>
      <c r="L76" s="707">
        <f t="shared" si="10"/>
        <v>16749.860399999998</v>
      </c>
      <c r="M76" s="707">
        <f t="shared" si="10"/>
        <v>20937.325499999995</v>
      </c>
      <c r="N76" s="707">
        <f t="shared" si="10"/>
        <v>613.548</v>
      </c>
      <c r="O76" s="707">
        <f t="shared" si="10"/>
        <v>613.548</v>
      </c>
      <c r="P76" s="707">
        <f t="shared" si="10"/>
        <v>766.93500000000006</v>
      </c>
      <c r="Q76" s="556">
        <f t="shared" si="10"/>
        <v>673.84615384615392</v>
      </c>
      <c r="R76" s="556">
        <f t="shared" si="10"/>
        <v>673.84615384615392</v>
      </c>
      <c r="S76" s="557">
        <f t="shared" si="10"/>
        <v>842.30769230769238</v>
      </c>
    </row>
    <row r="77" spans="1:19" s="558" customFormat="1" ht="20.100000000000001" customHeight="1">
      <c r="A77" s="553" t="str">
        <f>L_CViec!A147</f>
        <v>26.1</v>
      </c>
      <c r="B77" s="574" t="str">
        <f>L_CViec!B147</f>
        <v>Quét trang A3</v>
      </c>
      <c r="C77" s="555" t="str">
        <f>L_CViec!AB147</f>
        <v>Trang</v>
      </c>
      <c r="D77" s="555">
        <f>L_CViec!AA147</f>
        <v>1</v>
      </c>
      <c r="E77" s="555" t="str">
        <f>L_CViec!AC147</f>
        <v>1KS1</v>
      </c>
      <c r="F77" s="555" t="str">
        <f>L_CViec!AD147</f>
        <v>1-3</v>
      </c>
      <c r="G77" s="555">
        <f>L_CViec!AE147</f>
        <v>1.6E-2</v>
      </c>
      <c r="H77" s="706">
        <f>L_CViec!AF147</f>
        <v>1.6E-2</v>
      </c>
      <c r="I77" s="706">
        <f>L_CViec!AG147</f>
        <v>0.02</v>
      </c>
      <c r="J77" s="556">
        <f>L_CViec!AH147</f>
        <v>260091</v>
      </c>
      <c r="K77" s="707">
        <f>G77*$J77*L_CBac!$G$68*2</f>
        <v>9571.3487999999998</v>
      </c>
      <c r="L77" s="707">
        <f>H77*$J77*L_CBac!$G$68*2</f>
        <v>9571.3487999999998</v>
      </c>
      <c r="M77" s="707">
        <f>I77*$J77*L_CBac!$G$68*2</f>
        <v>11964.185999999998</v>
      </c>
      <c r="N77" s="707">
        <f>$D77*G77*L_CBac!$J$68</f>
        <v>409.03199999999998</v>
      </c>
      <c r="O77" s="707">
        <f>$D77*H77*L_CBac!$J$68</f>
        <v>409.03199999999998</v>
      </c>
      <c r="P77" s="707">
        <f>$D77*I77*L_CBac!$J$68</f>
        <v>511.29</v>
      </c>
      <c r="Q77" s="556">
        <f>$D77*G77*L_CBac!$J$69</f>
        <v>449.23076923076928</v>
      </c>
      <c r="R77" s="556">
        <f>$D77*H77*L_CBac!$J$69</f>
        <v>449.23076923076928</v>
      </c>
      <c r="S77" s="557">
        <f>$D77*I77*L_CBac!$J$69</f>
        <v>561.53846153846155</v>
      </c>
    </row>
    <row r="78" spans="1:19" s="558" customFormat="1" ht="20.100000000000001" customHeight="1">
      <c r="A78" s="553" t="str">
        <f>L_CViec!A148</f>
        <v>26.2</v>
      </c>
      <c r="B78" s="574" t="str">
        <f>L_CViec!B148</f>
        <v>Quét trang A4</v>
      </c>
      <c r="C78" s="555" t="str">
        <f>L_CViec!AB148</f>
        <v>Trang</v>
      </c>
      <c r="D78" s="555">
        <f>L_CViec!AA148</f>
        <v>1</v>
      </c>
      <c r="E78" s="555" t="str">
        <f>L_CViec!AC148</f>
        <v>1KS1</v>
      </c>
      <c r="F78" s="555" t="str">
        <f>L_CViec!AD148</f>
        <v>1-3</v>
      </c>
      <c r="G78" s="555">
        <f>L_CViec!AE148</f>
        <v>8.0000000000000002E-3</v>
      </c>
      <c r="H78" s="706">
        <f>L_CViec!AF148</f>
        <v>8.0000000000000002E-3</v>
      </c>
      <c r="I78" s="706">
        <f>L_CViec!AG148</f>
        <v>0.01</v>
      </c>
      <c r="J78" s="556">
        <f>L_CViec!AH148</f>
        <v>260091</v>
      </c>
      <c r="K78" s="707">
        <f>G78*$J78*L_CBac!$G$68*3</f>
        <v>7178.5115999999998</v>
      </c>
      <c r="L78" s="707">
        <f>H78*$J78*L_CBac!$G$68*3</f>
        <v>7178.5115999999998</v>
      </c>
      <c r="M78" s="707">
        <f>I78*$J78*L_CBac!$G$68*3</f>
        <v>8973.1394999999975</v>
      </c>
      <c r="N78" s="707">
        <f>$D78*G78*L_CBac!$J$68</f>
        <v>204.51599999999999</v>
      </c>
      <c r="O78" s="707">
        <f>$D78*H78*L_CBac!$J$68</f>
        <v>204.51599999999999</v>
      </c>
      <c r="P78" s="707">
        <f>$D78*I78*L_CBac!$J$68</f>
        <v>255.64500000000001</v>
      </c>
      <c r="Q78" s="556">
        <f>$D78*G78*L_CBac!$J$69</f>
        <v>224.61538461538464</v>
      </c>
      <c r="R78" s="556">
        <f>$D78*H78*L_CBac!$J$69</f>
        <v>224.61538461538464</v>
      </c>
      <c r="S78" s="557">
        <f>$D78*I78*L_CBac!$J$69</f>
        <v>280.76923076923077</v>
      </c>
    </row>
    <row r="79" spans="1:19" s="558" customFormat="1" ht="45">
      <c r="A79" s="553" t="str">
        <f>L_CViec!A149</f>
        <v>27</v>
      </c>
      <c r="B79" s="574" t="str">
        <f>L_CViec!B149</f>
        <v>Xử lý các tệp tin quét thành tệp (File) hồ sơ quét dạng số của thửa đất, lưu trữ dưới khuôn dạng tệp tin PDF</v>
      </c>
      <c r="C79" s="555" t="str">
        <f>L_CViec!AB149</f>
        <v>Trang</v>
      </c>
      <c r="D79" s="555">
        <f>L_CViec!AA149</f>
        <v>1</v>
      </c>
      <c r="E79" s="555" t="str">
        <f>L_CViec!AC149</f>
        <v>1KS1</v>
      </c>
      <c r="F79" s="555" t="str">
        <f>L_CViec!AD149</f>
        <v>1-3</v>
      </c>
      <c r="G79" s="555">
        <f>L_CViec!AE149</f>
        <v>4.0000000000000001E-3</v>
      </c>
      <c r="H79" s="706">
        <f>L_CViec!AF149</f>
        <v>4.0000000000000001E-3</v>
      </c>
      <c r="I79" s="706">
        <f>L_CViec!AG149</f>
        <v>5.0000000000000001E-3</v>
      </c>
      <c r="J79" s="556">
        <f>L_CViec!AH149</f>
        <v>260091</v>
      </c>
      <c r="K79" s="707">
        <f>G79*$J79*L_CBac!$G$68*5</f>
        <v>5982.0929999999998</v>
      </c>
      <c r="L79" s="707">
        <f>H79*$J79*L_CBac!$G$68*5</f>
        <v>5982.0929999999998</v>
      </c>
      <c r="M79" s="707">
        <f>I79*$J79*L_CBac!$G$68*5</f>
        <v>7477.6162499999991</v>
      </c>
      <c r="N79" s="707">
        <f>$D79*G79*L_CBac!$J$68</f>
        <v>102.258</v>
      </c>
      <c r="O79" s="707">
        <f>$D79*H79*L_CBac!$J$68</f>
        <v>102.258</v>
      </c>
      <c r="P79" s="707">
        <f>$D79*I79*L_CBac!$J$68</f>
        <v>127.82250000000001</v>
      </c>
      <c r="Q79" s="556">
        <f>$D79*G79*L_CBac!$J$69</f>
        <v>112.30769230769232</v>
      </c>
      <c r="R79" s="556">
        <f>$D79*H79*L_CBac!$J$69</f>
        <v>112.30769230769232</v>
      </c>
      <c r="S79" s="557">
        <f>$D79*I79*L_CBac!$J$69</f>
        <v>140.38461538461539</v>
      </c>
    </row>
    <row r="80" spans="1:19" s="558" customFormat="1" ht="30">
      <c r="A80" s="553" t="str">
        <f>L_CViec!A150</f>
        <v>28</v>
      </c>
      <c r="B80" s="574" t="str">
        <f>L_CViec!B150</f>
        <v>Tạo liên kết hồ sơ quét dạng số với thửa đất trong cơ sở dữ liệu</v>
      </c>
      <c r="C80" s="555" t="str">
        <f>L_CViec!AB150</f>
        <v>Thửa</v>
      </c>
      <c r="D80" s="555">
        <f>L_CViec!AA150</f>
        <v>1</v>
      </c>
      <c r="E80" s="555" t="str">
        <f>L_CViec!AC150</f>
        <v>1KS1</v>
      </c>
      <c r="F80" s="555" t="str">
        <f>L_CViec!AD150</f>
        <v>1-3</v>
      </c>
      <c r="G80" s="555">
        <f>L_CViec!AE150</f>
        <v>0.01</v>
      </c>
      <c r="H80" s="706">
        <f>L_CViec!AF150</f>
        <v>0.01</v>
      </c>
      <c r="I80" s="706">
        <f>L_CViec!AG150</f>
        <v>1.2999999999999999E-2</v>
      </c>
      <c r="J80" s="556">
        <f>L_CViec!AH150</f>
        <v>260091</v>
      </c>
      <c r="K80" s="707">
        <f>G80*$J80*L_CBac!$G$68</f>
        <v>2991.0464999999995</v>
      </c>
      <c r="L80" s="707">
        <f>H80*$J80*L_CBac!$G$68</f>
        <v>2991.0464999999995</v>
      </c>
      <c r="M80" s="707">
        <f>I80*$J80*L_CBac!$G$68</f>
        <v>3888.3604499999997</v>
      </c>
      <c r="N80" s="707">
        <f>$D80*G80*L_CBac!$J$68</f>
        <v>255.64500000000001</v>
      </c>
      <c r="O80" s="707">
        <f>$D80*H80*L_CBac!$J$68</f>
        <v>255.64500000000001</v>
      </c>
      <c r="P80" s="707">
        <f>$D80*I80*L_CBac!$J$68</f>
        <v>332.33850000000001</v>
      </c>
      <c r="Q80" s="556">
        <f>$D80*G80*L_CBac!$J$69</f>
        <v>280.76923076923077</v>
      </c>
      <c r="R80" s="556">
        <f>$D80*H80*L_CBac!$J$69</f>
        <v>280.76923076923077</v>
      </c>
      <c r="S80" s="557">
        <f>$D80*I80*L_CBac!$J$69</f>
        <v>365</v>
      </c>
    </row>
    <row r="81" spans="1:19" s="552" customFormat="1" ht="60">
      <c r="A81" s="546">
        <f>L_CViec!A151</f>
        <v>29</v>
      </c>
      <c r="B81" s="559" t="str">
        <f>L_CViec!B151</f>
        <v>Chuyển Giấy chứng nhận đến Bộ phận một cửa để trao cho người sử dụng đất hoặc chuyển Giấy chứng nhận cho người sử dụng đất thông qua dịch vụ bưu chính công ích</v>
      </c>
      <c r="C81" s="548" t="str">
        <f>L_CViec!AB151</f>
        <v>Hồ sơ</v>
      </c>
      <c r="D81" s="548">
        <f>L_CViec!AA151</f>
        <v>1</v>
      </c>
      <c r="E81" s="548" t="str">
        <f>L_CViec!AC151</f>
        <v>1KS2</v>
      </c>
      <c r="F81" s="548" t="str">
        <f>L_CViec!AD151</f>
        <v>1-3</v>
      </c>
      <c r="G81" s="709">
        <f>L_CViec!AE151</f>
        <v>0.2</v>
      </c>
      <c r="H81" s="704">
        <f>L_CViec!AF151</f>
        <v>0.2</v>
      </c>
      <c r="I81" s="704">
        <f>L_CViec!AG151</f>
        <v>0.2</v>
      </c>
      <c r="J81" s="550">
        <f>L_CViec!AH151</f>
        <v>296770.5</v>
      </c>
      <c r="K81" s="705">
        <f>G81*$J81*L_CBac!$G$68</f>
        <v>68257.214999999997</v>
      </c>
      <c r="L81" s="705">
        <f>H81*$J81*L_CBac!$G$68</f>
        <v>68257.214999999997</v>
      </c>
      <c r="M81" s="705">
        <f>I81*$J81*L_CBac!$G$68</f>
        <v>68257.214999999997</v>
      </c>
      <c r="N81" s="705">
        <f>$D81*G81*L_CBac!$J$68</f>
        <v>5112.9000000000005</v>
      </c>
      <c r="O81" s="705">
        <f>$D81*H81*L_CBac!$J$68</f>
        <v>5112.9000000000005</v>
      </c>
      <c r="P81" s="705">
        <f>$D81*I81*L_CBac!$J$68</f>
        <v>5112.9000000000005</v>
      </c>
      <c r="Q81" s="550">
        <f>$D81*G81*L_CBac!$J$69</f>
        <v>5615.3846153846162</v>
      </c>
      <c r="R81" s="550">
        <f>$D81*H81*L_CBac!$J$69</f>
        <v>5615.3846153846162</v>
      </c>
      <c r="S81" s="551">
        <f>$D81*I81*L_CBac!$J$69</f>
        <v>5615.3846153846162</v>
      </c>
    </row>
    <row r="82" spans="1:19" s="552" customFormat="1" ht="34.5" customHeight="1">
      <c r="A82" s="546" t="e">
        <f>L_CViec!#REF!</f>
        <v>#REF!</v>
      </c>
      <c r="B82" s="559" t="e">
        <f>L_CViec!#REF!</f>
        <v>#REF!</v>
      </c>
      <c r="C82" s="548" t="e">
        <f>L_CViec!#REF!</f>
        <v>#REF!</v>
      </c>
      <c r="D82" s="548" t="e">
        <f>L_CViec!#REF!</f>
        <v>#REF!</v>
      </c>
      <c r="E82" s="548" t="e">
        <f>L_CViec!#REF!</f>
        <v>#REF!</v>
      </c>
      <c r="F82" s="548" t="e">
        <f>L_CViec!#REF!</f>
        <v>#REF!</v>
      </c>
      <c r="G82" s="548" t="e">
        <f>L_CViec!#REF!</f>
        <v>#REF!</v>
      </c>
      <c r="H82" s="704" t="e">
        <f>L_CViec!#REF!</f>
        <v>#REF!</v>
      </c>
      <c r="I82" s="704" t="e">
        <f>L_CViec!#REF!</f>
        <v>#REF!</v>
      </c>
      <c r="J82" s="550" t="e">
        <f>L_CViec!#REF!</f>
        <v>#REF!</v>
      </c>
      <c r="K82" s="705" t="e">
        <f t="shared" ref="K82:S82" si="11">SUM(K83:K84)</f>
        <v>#REF!</v>
      </c>
      <c r="L82" s="705" t="e">
        <f t="shared" si="11"/>
        <v>#REF!</v>
      </c>
      <c r="M82" s="705" t="e">
        <f t="shared" si="11"/>
        <v>#REF!</v>
      </c>
      <c r="N82" s="705" t="e">
        <f t="shared" si="11"/>
        <v>#REF!</v>
      </c>
      <c r="O82" s="705" t="e">
        <f t="shared" si="11"/>
        <v>#REF!</v>
      </c>
      <c r="P82" s="705" t="e">
        <f t="shared" si="11"/>
        <v>#REF!</v>
      </c>
      <c r="Q82" s="550" t="e">
        <f t="shared" si="11"/>
        <v>#REF!</v>
      </c>
      <c r="R82" s="550" t="e">
        <f t="shared" si="11"/>
        <v>#REF!</v>
      </c>
      <c r="S82" s="551" t="e">
        <f t="shared" si="11"/>
        <v>#REF!</v>
      </c>
    </row>
    <row r="83" spans="1:19" s="558" customFormat="1" ht="37.5" customHeight="1">
      <c r="A83" s="553" t="e">
        <f>L_CViec!#REF!</f>
        <v>#REF!</v>
      </c>
      <c r="B83" s="574" t="e">
        <f>L_CViec!#REF!</f>
        <v>#REF!</v>
      </c>
      <c r="C83" s="555" t="e">
        <f>L_CViec!#REF!</f>
        <v>#REF!</v>
      </c>
      <c r="D83" s="555" t="e">
        <f>L_CViec!#REF!</f>
        <v>#REF!</v>
      </c>
      <c r="E83" s="555" t="e">
        <f>L_CViec!#REF!</f>
        <v>#REF!</v>
      </c>
      <c r="F83" s="555" t="e">
        <f>L_CViec!#REF!</f>
        <v>#REF!</v>
      </c>
      <c r="G83" s="555" t="e">
        <f>L_CViec!#REF!</f>
        <v>#REF!</v>
      </c>
      <c r="H83" s="706" t="e">
        <f>L_CViec!#REF!</f>
        <v>#REF!</v>
      </c>
      <c r="I83" s="706" t="e">
        <f>L_CViec!#REF!</f>
        <v>#REF!</v>
      </c>
      <c r="J83" s="556" t="e">
        <f>L_CViec!#REF!</f>
        <v>#REF!</v>
      </c>
      <c r="K83" s="707" t="e">
        <f>G83*$J83*L_CBac!$G$68</f>
        <v>#REF!</v>
      </c>
      <c r="L83" s="707" t="e">
        <f>H83*$J83*L_CBac!$G$68</f>
        <v>#REF!</v>
      </c>
      <c r="M83" s="707" t="e">
        <f>I83*$J83*L_CBac!$G$68</f>
        <v>#REF!</v>
      </c>
      <c r="N83" s="707" t="e">
        <f>$D83*G83*L_CBac!$J$68</f>
        <v>#REF!</v>
      </c>
      <c r="O83" s="707" t="e">
        <f>$D83*H83*L_CBac!$J$68</f>
        <v>#REF!</v>
      </c>
      <c r="P83" s="707" t="e">
        <f>$D83*I83*L_CBac!$J$68</f>
        <v>#REF!</v>
      </c>
      <c r="Q83" s="556" t="e">
        <f>$D83*G83*L_CBac!$J$69</f>
        <v>#REF!</v>
      </c>
      <c r="R83" s="556" t="e">
        <f>$D83*H83*L_CBac!$J$69</f>
        <v>#REF!</v>
      </c>
      <c r="S83" s="557" t="e">
        <f>$D83*I83*L_CBac!$J$69</f>
        <v>#REF!</v>
      </c>
    </row>
    <row r="84" spans="1:19" s="558" customFormat="1" ht="15">
      <c r="A84" s="553" t="e">
        <f>L_CViec!#REF!</f>
        <v>#REF!</v>
      </c>
      <c r="B84" s="574" t="e">
        <f>L_CViec!#REF!</f>
        <v>#REF!</v>
      </c>
      <c r="C84" s="555" t="e">
        <f>L_CViec!#REF!</f>
        <v>#REF!</v>
      </c>
      <c r="D84" s="555" t="e">
        <f>L_CViec!#REF!</f>
        <v>#REF!</v>
      </c>
      <c r="E84" s="555" t="e">
        <f>L_CViec!#REF!</f>
        <v>#REF!</v>
      </c>
      <c r="F84" s="555" t="e">
        <f>L_CViec!#REF!</f>
        <v>#REF!</v>
      </c>
      <c r="G84" s="555" t="e">
        <f>L_CViec!#REF!</f>
        <v>#REF!</v>
      </c>
      <c r="H84" s="706" t="e">
        <f>L_CViec!#REF!</f>
        <v>#REF!</v>
      </c>
      <c r="I84" s="706" t="e">
        <f>L_CViec!#REF!</f>
        <v>#REF!</v>
      </c>
      <c r="J84" s="556" t="e">
        <f>L_CViec!#REF!</f>
        <v>#REF!</v>
      </c>
      <c r="K84" s="707" t="e">
        <f>G84*$J84*L_CBac!$G$68</f>
        <v>#REF!</v>
      </c>
      <c r="L84" s="707" t="e">
        <f>H84*$J84*L_CBac!$G$68</f>
        <v>#REF!</v>
      </c>
      <c r="M84" s="707" t="e">
        <f>I84*$J84*L_CBac!$G$68</f>
        <v>#REF!</v>
      </c>
      <c r="N84" s="707" t="e">
        <f>$D84*G84*L_CBac!$J$68</f>
        <v>#REF!</v>
      </c>
      <c r="O84" s="707" t="e">
        <f>$D84*H84*L_CBac!$J$68</f>
        <v>#REF!</v>
      </c>
      <c r="P84" s="707" t="e">
        <f>$D84*I84*L_CBac!$J$68</f>
        <v>#REF!</v>
      </c>
      <c r="Q84" s="556" t="e">
        <f>$D84*G84*L_CBac!$J$69</f>
        <v>#REF!</v>
      </c>
      <c r="R84" s="556" t="e">
        <f>$D84*H84*L_CBac!$J$69</f>
        <v>#REF!</v>
      </c>
      <c r="S84" s="557" t="e">
        <f>$D84*I84*L_CBac!$J$69</f>
        <v>#REF!</v>
      </c>
    </row>
    <row r="85" spans="1:19" s="534" customFormat="1" ht="32.25" customHeight="1">
      <c r="A85" s="535" t="str">
        <f>L_CViec!A153</f>
        <v>II.2</v>
      </c>
      <c r="B85" s="1770" t="str">
        <f>L_CViec!B153</f>
        <v>CÁC NỘI DUNG THỰC HIỆN TẠI ĐỊA BÀN CẤP TỈNH</v>
      </c>
      <c r="C85" s="1771">
        <f>L_CViec!AB153</f>
        <v>0</v>
      </c>
      <c r="D85" s="1772">
        <f>L_CViec!AA153</f>
        <v>0</v>
      </c>
      <c r="E85" s="584">
        <f>L_CViec!AC153</f>
        <v>0</v>
      </c>
      <c r="F85" s="584">
        <f>L_CViec!AD153</f>
        <v>0</v>
      </c>
      <c r="G85" s="584">
        <f>L_CViec!AE153</f>
        <v>0</v>
      </c>
      <c r="H85" s="537">
        <f>L_CViec!AF153</f>
        <v>0</v>
      </c>
      <c r="I85" s="537">
        <f>L_CViec!AG153</f>
        <v>0</v>
      </c>
      <c r="J85" s="537">
        <f>L_CViec!AH153</f>
        <v>0</v>
      </c>
      <c r="K85" s="708">
        <f>K86</f>
        <v>76693.5</v>
      </c>
      <c r="L85" s="708">
        <f t="shared" ref="L85:S85" si="12">L86</f>
        <v>76693.5</v>
      </c>
      <c r="M85" s="708">
        <f t="shared" si="12"/>
        <v>99701.549999999988</v>
      </c>
      <c r="N85" s="708">
        <f t="shared" si="12"/>
        <v>5112.9000000000005</v>
      </c>
      <c r="O85" s="708">
        <f t="shared" si="12"/>
        <v>5112.9000000000005</v>
      </c>
      <c r="P85" s="708">
        <f t="shared" si="12"/>
        <v>6646.77</v>
      </c>
      <c r="Q85" s="537">
        <f t="shared" si="12"/>
        <v>5615.3846153846162</v>
      </c>
      <c r="R85" s="537">
        <f t="shared" si="12"/>
        <v>5615.3846153846162</v>
      </c>
      <c r="S85" s="538">
        <f t="shared" si="12"/>
        <v>7300.0000000000009</v>
      </c>
    </row>
    <row r="86" spans="1:19" s="552" customFormat="1" ht="45">
      <c r="A86" s="546" t="str">
        <f>L_CViec!A154</f>
        <v>1</v>
      </c>
      <c r="B86" s="559" t="str">
        <f>L_CViec!B154</f>
        <v>Nhận bản thông báo cập nhật hồ sơ địa chính xã, phường chuyển đến đối với những nơi chưa liên thông</v>
      </c>
      <c r="C86" s="548" t="str">
        <f>L_CViec!AB154</f>
        <v>Hồ sơ</v>
      </c>
      <c r="D86" s="548">
        <f>L_CViec!AA154</f>
        <v>1</v>
      </c>
      <c r="E86" s="548" t="str">
        <f>L_CViec!AC154</f>
        <v>1KS3</v>
      </c>
      <c r="F86" s="548" t="str">
        <f>L_CViec!AD154</f>
        <v>1-3</v>
      </c>
      <c r="G86" s="548">
        <f>L_CViec!AE154</f>
        <v>0.2</v>
      </c>
      <c r="H86" s="704">
        <f>L_CViec!AF154</f>
        <v>0.2</v>
      </c>
      <c r="I86" s="704">
        <f>L_CViec!AG154</f>
        <v>0.26</v>
      </c>
      <c r="J86" s="550">
        <f>L_CViec!AH154</f>
        <v>333450</v>
      </c>
      <c r="K86" s="705">
        <f>G86*$J86*L_CBac!$G$68</f>
        <v>76693.5</v>
      </c>
      <c r="L86" s="705">
        <f>H86*$J86*L_CBac!$G$68</f>
        <v>76693.5</v>
      </c>
      <c r="M86" s="705">
        <f>I86*$J86*L_CBac!$G$68</f>
        <v>99701.549999999988</v>
      </c>
      <c r="N86" s="705">
        <f>$D86*G86*L_CBac!$J$68</f>
        <v>5112.9000000000005</v>
      </c>
      <c r="O86" s="705">
        <f>$D86*H86*L_CBac!$J$68</f>
        <v>5112.9000000000005</v>
      </c>
      <c r="P86" s="705">
        <f>$D86*I86*L_CBac!$J$68</f>
        <v>6646.77</v>
      </c>
      <c r="Q86" s="550">
        <f>$D86*G86*L_CBac!$J$69</f>
        <v>5615.3846153846162</v>
      </c>
      <c r="R86" s="550">
        <f>$D86*H86*L_CBac!$J$69</f>
        <v>5615.3846153846162</v>
      </c>
      <c r="S86" s="551">
        <f>$D86*I86*L_CBac!$J$69</f>
        <v>7300.0000000000009</v>
      </c>
    </row>
    <row r="87" spans="1:19" s="552" customFormat="1" ht="19.5" customHeight="1">
      <c r="A87" s="710" t="str">
        <f>L_CViec!A155</f>
        <v>II.3</v>
      </c>
      <c r="B87" s="711" t="str">
        <f>L_CViec!B155</f>
        <v>GHI CHÚ</v>
      </c>
      <c r="C87" s="711">
        <f>L_CViec!AB155</f>
        <v>0</v>
      </c>
      <c r="D87" s="711"/>
      <c r="E87" s="711">
        <f>L_CViec!AC155</f>
        <v>0</v>
      </c>
      <c r="F87" s="711">
        <f>L_CViec!AD155</f>
        <v>0</v>
      </c>
      <c r="G87" s="711">
        <f>L_CViec!AE155</f>
        <v>0</v>
      </c>
      <c r="H87" s="712">
        <f>L_CViec!AF155</f>
        <v>0</v>
      </c>
      <c r="I87" s="712">
        <f>L_CViec!AG155</f>
        <v>0</v>
      </c>
      <c r="J87" s="713">
        <f>L_CViec!AH155</f>
        <v>0</v>
      </c>
      <c r="K87" s="714"/>
      <c r="L87" s="714"/>
      <c r="M87" s="714"/>
      <c r="N87" s="714"/>
      <c r="O87" s="714"/>
      <c r="P87" s="714"/>
      <c r="Q87" s="715"/>
      <c r="R87" s="715"/>
      <c r="S87" s="716"/>
    </row>
    <row r="88" spans="1:19" s="552" customFormat="1" ht="33.6" customHeight="1">
      <c r="A88" s="717" t="str">
        <f>L_CViec!A156</f>
        <v>1</v>
      </c>
      <c r="B88" s="1816" t="str">
        <f>L_CViec!B156</f>
        <v>Cột “ĐM Đất” áp dụng cho trường hợp đăng ký, cấp GCN đối với đất; cột “ĐM Đất + TS” áp dụng đối với trường hợp đăng ký, cấp GCN đối với cả đất và tài sản gắn liền với đất</v>
      </c>
      <c r="C88" s="1817"/>
      <c r="D88" s="1817"/>
      <c r="E88" s="1817"/>
      <c r="F88" s="1817"/>
      <c r="G88" s="1817"/>
      <c r="H88" s="1817"/>
      <c r="I88" s="1817"/>
      <c r="J88" s="1817"/>
      <c r="K88" s="1817"/>
      <c r="L88" s="1817"/>
      <c r="M88" s="1818"/>
      <c r="N88" s="718"/>
      <c r="O88" s="718"/>
      <c r="P88" s="718"/>
      <c r="Q88" s="718"/>
      <c r="R88" s="718"/>
      <c r="S88" s="719"/>
    </row>
    <row r="89" spans="1:19" s="552" customFormat="1" ht="47.45" customHeight="1">
      <c r="A89" s="546" t="str">
        <f>L_CViec!A157</f>
        <v>2</v>
      </c>
      <c r="B89" s="1736" t="str">
        <f>L_CViec!B157</f>
        <v>Trường hợp nhiều thửa đất nông nghiệp lập chung trong 1 hồ sơ và cấp chung trong một GCN thì ngoài mức được tính ở trên, mỗi thửa đất tăng thêm được tính mức bằng 0,30 lần định mức quy định đối với Mục 2, 3, 4, 5, 6, 7, 10, 11, 12, 13, 15, 16, 17, 18, 19, 20, 21, 24, 25, 26, 27 và 30 các nội dung thực hiện tại địa bàn xã, phường,đặc khu; Mục 1, 2 các nội dung thực hiện tại cấp tỉnh của Bảng này</v>
      </c>
      <c r="C89" s="1737"/>
      <c r="D89" s="1737"/>
      <c r="E89" s="1737"/>
      <c r="F89" s="1737"/>
      <c r="G89" s="1737"/>
      <c r="H89" s="1737"/>
      <c r="I89" s="1737"/>
      <c r="J89" s="1737"/>
      <c r="K89" s="1737"/>
      <c r="L89" s="1737"/>
      <c r="M89" s="1819"/>
      <c r="N89" s="550"/>
      <c r="O89" s="550"/>
      <c r="P89" s="550"/>
      <c r="Q89" s="550"/>
      <c r="R89" s="550"/>
      <c r="S89" s="551"/>
    </row>
    <row r="90" spans="1:19" s="552" customFormat="1" ht="33.6" customHeight="1">
      <c r="A90" s="546" t="str">
        <f>L_CViec!A158</f>
        <v>3</v>
      </c>
      <c r="B90" s="1736" t="str">
        <f>L_CViec!B158</f>
        <v>Đối với các hồ sơ không có nhu cầu hoặc không đủ điều kiện cấp GCN thì được tính định mức đối với Mục 1, 2, 3, 4, 5, 6, 7, 10, 11, 13, 16 và 17 các nội dung thực hiện tại địa bàn xã, phường,đặc khu; Mục 1, 2, 3 các nội dung thực hiện tại địa bàn cấp tỉnh của Bảng 7.</v>
      </c>
      <c r="C90" s="1737"/>
      <c r="D90" s="1737"/>
      <c r="E90" s="1737"/>
      <c r="F90" s="1737"/>
      <c r="G90" s="1737"/>
      <c r="H90" s="1737"/>
      <c r="I90" s="1737"/>
      <c r="J90" s="1737"/>
      <c r="K90" s="1737"/>
      <c r="L90" s="1737"/>
      <c r="M90" s="1819"/>
      <c r="N90" s="550"/>
      <c r="O90" s="550"/>
      <c r="P90" s="550"/>
      <c r="Q90" s="550"/>
      <c r="R90" s="550"/>
      <c r="S90" s="551"/>
    </row>
    <row r="91" spans="1:19" s="552" customFormat="1" ht="16.149999999999999" customHeight="1">
      <c r="A91" s="546" t="e">
        <f>L_CViec!#REF!</f>
        <v>#REF!</v>
      </c>
      <c r="B91" s="1736" t="e">
        <f>L_CViec!#REF!</f>
        <v>#REF!</v>
      </c>
      <c r="C91" s="1737"/>
      <c r="D91" s="1737"/>
      <c r="E91" s="1737"/>
      <c r="F91" s="1737"/>
      <c r="G91" s="1737"/>
      <c r="H91" s="1737"/>
      <c r="I91" s="1737"/>
      <c r="J91" s="1737"/>
      <c r="K91" s="1737"/>
      <c r="L91" s="1737"/>
      <c r="M91" s="1819"/>
      <c r="N91" s="550"/>
      <c r="O91" s="550"/>
      <c r="P91" s="550"/>
      <c r="Q91" s="550"/>
      <c r="R91" s="550"/>
      <c r="S91" s="551"/>
    </row>
    <row r="92" spans="1:19" s="552" customFormat="1" ht="33.6" customHeight="1" thickBot="1">
      <c r="A92" s="593" t="str">
        <f>L_CViec!A159</f>
        <v>4</v>
      </c>
      <c r="B92" s="1820" t="str">
        <f>L_CViec!B159</f>
        <v>Trường hợp người sử dụng đất đã đăng ký đất đai theo quy định của pháp luật mà có nhu cầu và đủ điều kiện cấp GCN thì được tính định mức đối với Mục 2, 7, 12, 18, 19, 20, 21, 24, 25, 26, 27 và 30 các nội dung thực hiện tại địa bàn xã, phường,đặc khu; Mục 1, 2, 3 các nội dung thực hiện tại địa bàn cấp tỉnh của Bảng này</v>
      </c>
      <c r="C92" s="1821"/>
      <c r="D92" s="1821"/>
      <c r="E92" s="1821"/>
      <c r="F92" s="1821"/>
      <c r="G92" s="1821"/>
      <c r="H92" s="1821"/>
      <c r="I92" s="1821"/>
      <c r="J92" s="1821"/>
      <c r="K92" s="1821"/>
      <c r="L92" s="1821"/>
      <c r="M92" s="1821"/>
      <c r="N92" s="1821"/>
      <c r="O92" s="1821"/>
      <c r="P92" s="1822"/>
      <c r="Q92" s="720"/>
      <c r="R92" s="720"/>
      <c r="S92" s="721"/>
    </row>
    <row r="93" spans="1:19" s="534" customFormat="1" ht="28.15" customHeight="1">
      <c r="A93" s="695" t="str">
        <f>L_CViec!A161</f>
        <v>III</v>
      </c>
      <c r="B93" s="1773" t="str">
        <f>L_CViec!B161</f>
        <v>Định mức lao động đăng ký, cấp Giấy chứng nhận lần đầu đối với tổ chức (trừ trường hợp thuộc thẩm quyền quyết định của UBND xã, phường), tổ chức tôn giáo, tổ chức tôn giáo trực thuộc đang sử dụng đất</v>
      </c>
      <c r="C93" s="1774"/>
      <c r="D93" s="1774"/>
      <c r="E93" s="696" t="s">
        <v>341</v>
      </c>
      <c r="F93" s="697"/>
      <c r="G93" s="697"/>
      <c r="H93" s="697"/>
      <c r="I93" s="697"/>
      <c r="J93" s="698"/>
      <c r="K93" s="699"/>
      <c r="L93" s="699"/>
      <c r="M93" s="699"/>
      <c r="N93" s="699"/>
      <c r="O93" s="699"/>
      <c r="P93" s="699"/>
      <c r="Q93" s="699"/>
      <c r="R93" s="699"/>
      <c r="S93" s="700"/>
    </row>
    <row r="94" spans="1:19" s="534" customFormat="1" ht="14.25">
      <c r="A94" s="1742" t="str">
        <f>L_CViec!A181</f>
        <v>III.2</v>
      </c>
      <c r="B94" s="1815" t="str">
        <f>L_CViec!B181</f>
        <v>CÁC NỘI DUNG THỰC HIỆN TẠI ĐỊA BÀN CẤP TỈNH</v>
      </c>
      <c r="C94" s="682"/>
      <c r="D94" s="682"/>
      <c r="E94" s="625"/>
      <c r="F94" s="625">
        <v>1</v>
      </c>
      <c r="G94" s="625"/>
      <c r="H94" s="627"/>
      <c r="I94" s="627"/>
      <c r="J94" s="627">
        <f>L_CViec!AH181</f>
        <v>0</v>
      </c>
      <c r="K94" s="722" t="e">
        <f t="shared" ref="K94:S98" si="13">SUM(K$100,K$102,K$103,K$105,K106,K$113,K$116,K$120,K$121,K$122,K$124,K$126,K$127,K$128,K$129,K$135,K$136)</f>
        <v>#REF!</v>
      </c>
      <c r="L94" s="722" t="e">
        <f t="shared" si="13"/>
        <v>#REF!</v>
      </c>
      <c r="M94" s="722" t="e">
        <f t="shared" si="13"/>
        <v>#REF!</v>
      </c>
      <c r="N94" s="722" t="e">
        <f t="shared" si="13"/>
        <v>#REF!</v>
      </c>
      <c r="O94" s="722" t="e">
        <f t="shared" si="13"/>
        <v>#REF!</v>
      </c>
      <c r="P94" s="722" t="e">
        <f t="shared" si="13"/>
        <v>#REF!</v>
      </c>
      <c r="Q94" s="532" t="e">
        <f t="shared" si="13"/>
        <v>#REF!</v>
      </c>
      <c r="R94" s="532" t="e">
        <f t="shared" si="13"/>
        <v>#REF!</v>
      </c>
      <c r="S94" s="533" t="e">
        <f t="shared" si="13"/>
        <v>#REF!</v>
      </c>
    </row>
    <row r="95" spans="1:19" s="552" customFormat="1" ht="15" customHeight="1">
      <c r="A95" s="1742"/>
      <c r="B95" s="1815"/>
      <c r="C95" s="629"/>
      <c r="D95" s="629"/>
      <c r="E95" s="628"/>
      <c r="F95" s="628">
        <v>2</v>
      </c>
      <c r="G95" s="628"/>
      <c r="H95" s="630"/>
      <c r="I95" s="630"/>
      <c r="J95" s="630"/>
      <c r="K95" s="703" t="e">
        <f t="shared" si="13"/>
        <v>#REF!</v>
      </c>
      <c r="L95" s="703" t="e">
        <f t="shared" si="13"/>
        <v>#REF!</v>
      </c>
      <c r="M95" s="703" t="e">
        <f t="shared" si="13"/>
        <v>#REF!</v>
      </c>
      <c r="N95" s="703" t="e">
        <f t="shared" si="13"/>
        <v>#REF!</v>
      </c>
      <c r="O95" s="703" t="e">
        <f t="shared" si="13"/>
        <v>#REF!</v>
      </c>
      <c r="P95" s="703" t="e">
        <f t="shared" si="13"/>
        <v>#REF!</v>
      </c>
      <c r="Q95" s="537" t="e">
        <f t="shared" si="13"/>
        <v>#REF!</v>
      </c>
      <c r="R95" s="537" t="e">
        <f t="shared" si="13"/>
        <v>#REF!</v>
      </c>
      <c r="S95" s="538" t="e">
        <f t="shared" si="13"/>
        <v>#REF!</v>
      </c>
    </row>
    <row r="96" spans="1:19" s="552" customFormat="1" ht="15" customHeight="1">
      <c r="A96" s="1742"/>
      <c r="B96" s="1815"/>
      <c r="C96" s="629"/>
      <c r="D96" s="629"/>
      <c r="E96" s="628"/>
      <c r="F96" s="628">
        <v>3</v>
      </c>
      <c r="G96" s="628"/>
      <c r="H96" s="630"/>
      <c r="I96" s="630"/>
      <c r="J96" s="630"/>
      <c r="K96" s="703" t="e">
        <f t="shared" si="13"/>
        <v>#REF!</v>
      </c>
      <c r="L96" s="703" t="e">
        <f t="shared" si="13"/>
        <v>#REF!</v>
      </c>
      <c r="M96" s="703" t="e">
        <f t="shared" si="13"/>
        <v>#REF!</v>
      </c>
      <c r="N96" s="703" t="e">
        <f t="shared" si="13"/>
        <v>#REF!</v>
      </c>
      <c r="O96" s="703" t="e">
        <f t="shared" si="13"/>
        <v>#REF!</v>
      </c>
      <c r="P96" s="703" t="e">
        <f t="shared" si="13"/>
        <v>#REF!</v>
      </c>
      <c r="Q96" s="537" t="e">
        <f t="shared" si="13"/>
        <v>#REF!</v>
      </c>
      <c r="R96" s="537" t="e">
        <f t="shared" si="13"/>
        <v>#REF!</v>
      </c>
      <c r="S96" s="538" t="e">
        <f t="shared" si="13"/>
        <v>#REF!</v>
      </c>
    </row>
    <row r="97" spans="1:19" s="552" customFormat="1" ht="15" customHeight="1">
      <c r="A97" s="1742"/>
      <c r="B97" s="1815"/>
      <c r="C97" s="629"/>
      <c r="D97" s="629"/>
      <c r="E97" s="628"/>
      <c r="F97" s="628">
        <v>4</v>
      </c>
      <c r="G97" s="628"/>
      <c r="H97" s="630"/>
      <c r="I97" s="630"/>
      <c r="J97" s="630"/>
      <c r="K97" s="703" t="e">
        <f t="shared" si="13"/>
        <v>#REF!</v>
      </c>
      <c r="L97" s="703" t="e">
        <f t="shared" si="13"/>
        <v>#REF!</v>
      </c>
      <c r="M97" s="703" t="e">
        <f t="shared" si="13"/>
        <v>#REF!</v>
      </c>
      <c r="N97" s="703" t="e">
        <f t="shared" si="13"/>
        <v>#REF!</v>
      </c>
      <c r="O97" s="703" t="e">
        <f t="shared" si="13"/>
        <v>#REF!</v>
      </c>
      <c r="P97" s="703" t="e">
        <f t="shared" si="13"/>
        <v>#REF!</v>
      </c>
      <c r="Q97" s="537" t="e">
        <f t="shared" si="13"/>
        <v>#REF!</v>
      </c>
      <c r="R97" s="537" t="e">
        <f t="shared" si="13"/>
        <v>#REF!</v>
      </c>
      <c r="S97" s="538" t="e">
        <f t="shared" si="13"/>
        <v>#REF!</v>
      </c>
    </row>
    <row r="98" spans="1:19" s="552" customFormat="1" ht="15" customHeight="1">
      <c r="A98" s="1742"/>
      <c r="B98" s="1815"/>
      <c r="C98" s="629"/>
      <c r="D98" s="629"/>
      <c r="E98" s="628"/>
      <c r="F98" s="628">
        <v>5</v>
      </c>
      <c r="G98" s="628"/>
      <c r="H98" s="630"/>
      <c r="I98" s="630"/>
      <c r="J98" s="630"/>
      <c r="K98" s="703" t="e">
        <f>SUM(K$100,K$102,K$103,K$105,K110,K$113,K$116,K$120,K$121,K$122,K$124,K$126,K$127,K$128,K$129,K$135,K$136)</f>
        <v>#REF!</v>
      </c>
      <c r="L98" s="703" t="e">
        <f t="shared" si="13"/>
        <v>#REF!</v>
      </c>
      <c r="M98" s="703" t="e">
        <f t="shared" si="13"/>
        <v>#REF!</v>
      </c>
      <c r="N98" s="703" t="e">
        <f t="shared" si="13"/>
        <v>#REF!</v>
      </c>
      <c r="O98" s="703" t="e">
        <f t="shared" si="13"/>
        <v>#REF!</v>
      </c>
      <c r="P98" s="703" t="e">
        <f t="shared" si="13"/>
        <v>#REF!</v>
      </c>
      <c r="Q98" s="537" t="e">
        <f t="shared" si="13"/>
        <v>#REF!</v>
      </c>
      <c r="R98" s="537" t="e">
        <f t="shared" si="13"/>
        <v>#REF!</v>
      </c>
      <c r="S98" s="538" t="e">
        <f t="shared" si="13"/>
        <v>#REF!</v>
      </c>
    </row>
    <row r="99" spans="1:19" s="552" customFormat="1" ht="15">
      <c r="A99" s="546" t="e">
        <f>L_CViec!#REF!</f>
        <v>#REF!</v>
      </c>
      <c r="B99" s="559" t="e">
        <f>L_CViec!#REF!</f>
        <v>#REF!</v>
      </c>
      <c r="C99" s="548" t="e">
        <f>L_CViec!#REF!</f>
        <v>#REF!</v>
      </c>
      <c r="D99" s="548"/>
      <c r="E99" s="548" t="e">
        <f>L_CViec!#REF!</f>
        <v>#REF!</v>
      </c>
      <c r="F99" s="548" t="e">
        <f>L_CViec!#REF!</f>
        <v>#REF!</v>
      </c>
      <c r="G99" s="709" t="e">
        <f>L_CViec!#REF!</f>
        <v>#REF!</v>
      </c>
      <c r="H99" s="704" t="e">
        <f>L_CViec!#REF!</f>
        <v>#REF!</v>
      </c>
      <c r="I99" s="704" t="e">
        <f>L_CViec!#REF!</f>
        <v>#REF!</v>
      </c>
      <c r="J99" s="550" t="e">
        <f>L_CViec!#REF!</f>
        <v>#REF!</v>
      </c>
      <c r="K99" s="705"/>
      <c r="L99" s="705"/>
      <c r="M99" s="705"/>
      <c r="N99" s="705"/>
      <c r="O99" s="705"/>
      <c r="P99" s="705"/>
      <c r="Q99" s="550"/>
      <c r="R99" s="550"/>
      <c r="S99" s="551"/>
    </row>
    <row r="100" spans="1:19" s="558" customFormat="1" ht="20.100000000000001" customHeight="1">
      <c r="A100" s="553" t="e">
        <f>L_CViec!#REF!</f>
        <v>#REF!</v>
      </c>
      <c r="B100" s="574" t="e">
        <f>L_CViec!#REF!</f>
        <v>#REF!</v>
      </c>
      <c r="C100" s="555" t="e">
        <f>L_CViec!#REF!</f>
        <v>#REF!</v>
      </c>
      <c r="D100" s="555" t="e">
        <f>L_CViec!#REF!</f>
        <v>#REF!</v>
      </c>
      <c r="E100" s="555" t="e">
        <f>L_CViec!#REF!</f>
        <v>#REF!</v>
      </c>
      <c r="F100" s="555" t="e">
        <f>L_CViec!#REF!</f>
        <v>#REF!</v>
      </c>
      <c r="G100" s="723" t="e">
        <f>L_CViec!#REF!</f>
        <v>#REF!</v>
      </c>
      <c r="H100" s="706" t="e">
        <f>L_CViec!#REF!</f>
        <v>#REF!</v>
      </c>
      <c r="I100" s="706" t="e">
        <f>L_CViec!#REF!</f>
        <v>#REF!</v>
      </c>
      <c r="J100" s="556" t="e">
        <f>L_CViec!#REF!</f>
        <v>#REF!</v>
      </c>
      <c r="K100" s="707" t="e">
        <f>G100*$J100*L_CBac!$G$68</f>
        <v>#REF!</v>
      </c>
      <c r="L100" s="707" t="e">
        <f>H100*$J100*L_CBac!$G$68</f>
        <v>#REF!</v>
      </c>
      <c r="M100" s="707" t="e">
        <f>I100*$J100*L_CBac!$G$68</f>
        <v>#REF!</v>
      </c>
      <c r="N100" s="707" t="e">
        <f>$D100*G100*L_CBac!$J$68</f>
        <v>#REF!</v>
      </c>
      <c r="O100" s="707" t="e">
        <f>$D100*H100*L_CBac!$J$68</f>
        <v>#REF!</v>
      </c>
      <c r="P100" s="707" t="e">
        <f>$D100*I100*L_CBac!$J$68</f>
        <v>#REF!</v>
      </c>
      <c r="Q100" s="556" t="e">
        <f>$D100*G100*L_CBac!$J$69</f>
        <v>#REF!</v>
      </c>
      <c r="R100" s="556" t="e">
        <f>$D100*H100*L_CBac!$J$69</f>
        <v>#REF!</v>
      </c>
      <c r="S100" s="557" t="e">
        <f>$D100*I100*L_CBac!$J$69</f>
        <v>#REF!</v>
      </c>
    </row>
    <row r="101" spans="1:19" s="558" customFormat="1" ht="20.100000000000001" customHeight="1">
      <c r="A101" s="553" t="e">
        <f>L_CViec!#REF!</f>
        <v>#REF!</v>
      </c>
      <c r="B101" s="574" t="e">
        <f>L_CViec!#REF!</f>
        <v>#REF!</v>
      </c>
      <c r="C101" s="555" t="e">
        <f>L_CViec!#REF!</f>
        <v>#REF!</v>
      </c>
      <c r="D101" s="555" t="e">
        <f>L_CViec!#REF!</f>
        <v>#REF!</v>
      </c>
      <c r="E101" s="555" t="e">
        <f>L_CViec!#REF!</f>
        <v>#REF!</v>
      </c>
      <c r="F101" s="555" t="e">
        <f>L_CViec!#REF!</f>
        <v>#REF!</v>
      </c>
      <c r="G101" s="574" t="e">
        <f>L_CViec!#REF!</f>
        <v>#REF!</v>
      </c>
      <c r="H101" s="706" t="e">
        <f>L_CViec!#REF!</f>
        <v>#REF!</v>
      </c>
      <c r="I101" s="706" t="e">
        <f>L_CViec!#REF!</f>
        <v>#REF!</v>
      </c>
      <c r="J101" s="556" t="e">
        <f>L_CViec!#REF!</f>
        <v>#REF!</v>
      </c>
      <c r="K101" s="707" t="e">
        <f>G101*$J101*L_CBac!$G$68</f>
        <v>#REF!</v>
      </c>
      <c r="L101" s="707" t="e">
        <f>H101*$J101*L_CBac!$G$68</f>
        <v>#REF!</v>
      </c>
      <c r="M101" s="707" t="e">
        <f>I101*$J101*L_CBac!$G$68</f>
        <v>#REF!</v>
      </c>
      <c r="N101" s="707" t="e">
        <f>$D101*G101*L_CBac!$J$68</f>
        <v>#REF!</v>
      </c>
      <c r="O101" s="707" t="e">
        <f>$D101*H101*L_CBac!$J$68</f>
        <v>#REF!</v>
      </c>
      <c r="P101" s="707" t="e">
        <f>$D101*I101*L_CBac!$J$68</f>
        <v>#REF!</v>
      </c>
      <c r="Q101" s="556" t="e">
        <f>$D101*G101*L_CBac!$J$69</f>
        <v>#REF!</v>
      </c>
      <c r="R101" s="556" t="e">
        <f>$D101*H101*L_CBac!$J$69</f>
        <v>#REF!</v>
      </c>
      <c r="S101" s="557" t="e">
        <f>$D101*I101*L_CBac!$J$69</f>
        <v>#REF!</v>
      </c>
    </row>
    <row r="102" spans="1:19" s="552" customFormat="1" ht="45">
      <c r="A102" s="546" t="str">
        <f>L_CViec!A182</f>
        <v>1</v>
      </c>
      <c r="B102" s="559" t="str">
        <f>L_CViec!B182</f>
        <v>Lập Tờ trình kèm theo hồ sơ và dự thảo Quyết định về hình thức sử dụng đất trình Chủ tịch Ủy ban nhân dân tỉnh</v>
      </c>
      <c r="C102" s="548" t="str">
        <f>L_CViec!AB182</f>
        <v>Hồ sơ</v>
      </c>
      <c r="D102" s="548">
        <f>L_CViec!AA182</f>
        <v>1</v>
      </c>
      <c r="E102" s="548" t="str">
        <f>L_CViec!AC182</f>
        <v>1KS3</v>
      </c>
      <c r="F102" s="548" t="str">
        <f>L_CViec!AD182</f>
        <v>1-3</v>
      </c>
      <c r="G102" s="548">
        <f>L_CViec!AE182</f>
        <v>1</v>
      </c>
      <c r="H102" s="704">
        <f>L_CViec!AF182</f>
        <v>1</v>
      </c>
      <c r="I102" s="704">
        <f>L_CViec!AG182</f>
        <v>1.3</v>
      </c>
      <c r="J102" s="550">
        <f>L_CViec!AH182</f>
        <v>333450</v>
      </c>
      <c r="K102" s="705">
        <f>G102*$J102*L_CBac!$G$68</f>
        <v>383467.49999999994</v>
      </c>
      <c r="L102" s="705">
        <f>H102*$J102*L_CBac!$G$68</f>
        <v>383467.49999999994</v>
      </c>
      <c r="M102" s="705">
        <f>I102*$J102*L_CBac!$G$68</f>
        <v>498507.74999999994</v>
      </c>
      <c r="N102" s="705">
        <f>$D102*G102*L_CBac!$J$68</f>
        <v>25564.5</v>
      </c>
      <c r="O102" s="705">
        <f>$D102*H102*L_CBac!$J$68</f>
        <v>25564.5</v>
      </c>
      <c r="P102" s="705">
        <f>$D102*I102*L_CBac!$J$68</f>
        <v>33233.85</v>
      </c>
      <c r="Q102" s="550">
        <f>$D102*G102*L_CBac!$J$69</f>
        <v>28076.923076923078</v>
      </c>
      <c r="R102" s="550">
        <f>$D102*H102*L_CBac!$J$69</f>
        <v>28076.923076923078</v>
      </c>
      <c r="S102" s="551">
        <f>$D102*I102*L_CBac!$J$69</f>
        <v>36500</v>
      </c>
    </row>
    <row r="103" spans="1:19" s="552" customFormat="1" ht="50.1" customHeight="1">
      <c r="A103" s="546" t="str">
        <f>L_CViec!A183</f>
        <v>2</v>
      </c>
      <c r="B103" s="559" t="str">
        <f>L_CViec!B183</f>
        <v>Quyết định hình thức sử dụng đất</v>
      </c>
      <c r="C103" s="548" t="str">
        <f>L_CViec!AB183</f>
        <v>Hồ sơ</v>
      </c>
      <c r="D103" s="548">
        <f>L_CViec!AA183</f>
        <v>1</v>
      </c>
      <c r="E103" s="548" t="str">
        <f>L_CViec!AC183</f>
        <v>1KS3</v>
      </c>
      <c r="F103" s="548" t="str">
        <f>L_CViec!AD183</f>
        <v>1-3</v>
      </c>
      <c r="G103" s="548">
        <f>L_CViec!AE183</f>
        <v>0.05</v>
      </c>
      <c r="H103" s="704">
        <f>L_CViec!AF183</f>
        <v>0.05</v>
      </c>
      <c r="I103" s="704">
        <f>L_CViec!AG183</f>
        <v>0.05</v>
      </c>
      <c r="J103" s="550">
        <f>L_CViec!AH183</f>
        <v>333450</v>
      </c>
      <c r="K103" s="705">
        <f>G103*$J103*L_CBac!$G$68</f>
        <v>19173.375</v>
      </c>
      <c r="L103" s="705">
        <f>H103*$J103*L_CBac!$G$68</f>
        <v>19173.375</v>
      </c>
      <c r="M103" s="705">
        <f>I103*$J103*L_CBac!$G$68</f>
        <v>19173.375</v>
      </c>
      <c r="N103" s="705">
        <f>$D103*G103*L_CBac!$J$68</f>
        <v>1278.2250000000001</v>
      </c>
      <c r="O103" s="705">
        <f>$D103*H103*L_CBac!$J$68</f>
        <v>1278.2250000000001</v>
      </c>
      <c r="P103" s="705">
        <f>$D103*I103*L_CBac!$J$68</f>
        <v>1278.2250000000001</v>
      </c>
      <c r="Q103" s="550">
        <f>$D103*G103*L_CBac!$J$69</f>
        <v>1403.846153846154</v>
      </c>
      <c r="R103" s="550">
        <f>$D103*H103*L_CBac!$J$69</f>
        <v>1403.846153846154</v>
      </c>
      <c r="S103" s="551">
        <f>$D103*I103*L_CBac!$J$69</f>
        <v>1403.846153846154</v>
      </c>
    </row>
    <row r="104" spans="1:19" s="552" customFormat="1" ht="50.1" customHeight="1">
      <c r="A104" s="546" t="e">
        <f>L_CViec!#REF!</f>
        <v>#REF!</v>
      </c>
      <c r="B104" s="559" t="e">
        <f>L_CViec!#REF!</f>
        <v>#REF!</v>
      </c>
      <c r="C104" s="548" t="e">
        <f>L_CViec!#REF!</f>
        <v>#REF!</v>
      </c>
      <c r="D104" s="548" t="e">
        <f>L_CViec!#REF!</f>
        <v>#REF!</v>
      </c>
      <c r="E104" s="548" t="e">
        <f>L_CViec!#REF!</f>
        <v>#REF!</v>
      </c>
      <c r="F104" s="548" t="e">
        <f>L_CViec!#REF!</f>
        <v>#REF!</v>
      </c>
      <c r="G104" s="548" t="e">
        <f>L_CViec!#REF!</f>
        <v>#REF!</v>
      </c>
      <c r="H104" s="704" t="e">
        <f>L_CViec!#REF!</f>
        <v>#REF!</v>
      </c>
      <c r="I104" s="704" t="e">
        <f>L_CViec!#REF!</f>
        <v>#REF!</v>
      </c>
      <c r="J104" s="550" t="e">
        <f>L_CViec!#REF!</f>
        <v>#REF!</v>
      </c>
      <c r="K104" s="705"/>
      <c r="L104" s="705"/>
      <c r="M104" s="705"/>
      <c r="N104" s="705"/>
      <c r="O104" s="705"/>
      <c r="P104" s="705"/>
      <c r="Q104" s="550"/>
      <c r="R104" s="550"/>
      <c r="S104" s="551"/>
    </row>
    <row r="105" spans="1:19" s="558" customFormat="1" ht="15">
      <c r="A105" s="553" t="e">
        <f>L_CViec!#REF!</f>
        <v>#REF!</v>
      </c>
      <c r="B105" s="574" t="e">
        <f>L_CViec!#REF!</f>
        <v>#REF!</v>
      </c>
      <c r="C105" s="555" t="e">
        <f>L_CViec!#REF!</f>
        <v>#REF!</v>
      </c>
      <c r="D105" s="555" t="e">
        <f>L_CViec!#REF!</f>
        <v>#REF!</v>
      </c>
      <c r="E105" s="555" t="e">
        <f>L_CViec!#REF!</f>
        <v>#REF!</v>
      </c>
      <c r="F105" s="555" t="e">
        <f>L_CViec!#REF!</f>
        <v>#REF!</v>
      </c>
      <c r="G105" s="555" t="e">
        <f>L_CViec!#REF!</f>
        <v>#REF!</v>
      </c>
      <c r="H105" s="706" t="e">
        <f>L_CViec!#REF!</f>
        <v>#REF!</v>
      </c>
      <c r="I105" s="706" t="e">
        <f>L_CViec!#REF!</f>
        <v>#REF!</v>
      </c>
      <c r="J105" s="556" t="e">
        <f>L_CViec!#REF!</f>
        <v>#REF!</v>
      </c>
      <c r="K105" s="707" t="e">
        <f>G105*$J105*L_CBac!$G$68</f>
        <v>#REF!</v>
      </c>
      <c r="L105" s="707" t="e">
        <f>H105*$J105*L_CBac!$G$68</f>
        <v>#REF!</v>
      </c>
      <c r="M105" s="707" t="e">
        <f>I105*$J105*L_CBac!$G$68</f>
        <v>#REF!</v>
      </c>
      <c r="N105" s="707" t="e">
        <f>$D105*G105*L_CBac!$J$68</f>
        <v>#REF!</v>
      </c>
      <c r="O105" s="707" t="e">
        <f>$D105*H105*L_CBac!$J$68</f>
        <v>#REF!</v>
      </c>
      <c r="P105" s="707" t="e">
        <f>$D105*I105*L_CBac!$J$68</f>
        <v>#REF!</v>
      </c>
      <c r="Q105" s="556" t="e">
        <f>$D105*G105*L_CBac!$J$69</f>
        <v>#REF!</v>
      </c>
      <c r="R105" s="556" t="e">
        <f>$D105*H105*L_CBac!$J$69</f>
        <v>#REF!</v>
      </c>
      <c r="S105" s="557" t="e">
        <f>$D105*I105*L_CBac!$J$69</f>
        <v>#REF!</v>
      </c>
    </row>
    <row r="106" spans="1:19" s="558" customFormat="1" ht="80.099999999999994" customHeight="1">
      <c r="A106" s="553" t="e">
        <f>L_CViec!#REF!</f>
        <v>#REF!</v>
      </c>
      <c r="B106" s="574" t="e">
        <f>L_CViec!#REF!</f>
        <v>#REF!</v>
      </c>
      <c r="C106" s="555" t="e">
        <f>L_CViec!#REF!</f>
        <v>#REF!</v>
      </c>
      <c r="D106" s="555" t="e">
        <f>L_CViec!#REF!</f>
        <v>#REF!</v>
      </c>
      <c r="E106" s="555" t="e">
        <f>L_CViec!#REF!</f>
        <v>#REF!</v>
      </c>
      <c r="F106" s="555" t="e">
        <f>L_CViec!#REF!</f>
        <v>#REF!</v>
      </c>
      <c r="G106" s="555" t="e">
        <f>L_CViec!#REF!</f>
        <v>#REF!</v>
      </c>
      <c r="H106" s="706" t="e">
        <f>L_CViec!#REF!</f>
        <v>#REF!</v>
      </c>
      <c r="I106" s="706" t="e">
        <f>L_CViec!#REF!</f>
        <v>#REF!</v>
      </c>
      <c r="J106" s="556" t="e">
        <f>L_CViec!#REF!</f>
        <v>#REF!</v>
      </c>
      <c r="K106" s="707" t="e">
        <f>G106*$J106*L_CBac!$G$68</f>
        <v>#REF!</v>
      </c>
      <c r="L106" s="707" t="e">
        <f>H106*$J106*L_CBac!$G$68</f>
        <v>#REF!</v>
      </c>
      <c r="M106" s="707" t="e">
        <f>I106*$J106*L_CBac!$G$68</f>
        <v>#REF!</v>
      </c>
      <c r="N106" s="707" t="e">
        <f>$D106*G106*L_CBac!$J$68</f>
        <v>#REF!</v>
      </c>
      <c r="O106" s="707" t="e">
        <f>$D106*H106*L_CBac!$J$68</f>
        <v>#REF!</v>
      </c>
      <c r="P106" s="707" t="e">
        <f>$D106*I106*L_CBac!$J$68</f>
        <v>#REF!</v>
      </c>
      <c r="Q106" s="556" t="e">
        <f>$D106*G106*L_CBac!$J$69</f>
        <v>#REF!</v>
      </c>
      <c r="R106" s="556" t="e">
        <f>$D106*H106*L_CBac!$J$69</f>
        <v>#REF!</v>
      </c>
      <c r="S106" s="557" t="e">
        <f>$D106*I106*L_CBac!$J$69</f>
        <v>#REF!</v>
      </c>
    </row>
    <row r="107" spans="1:19" s="558" customFormat="1" ht="20.100000000000001" customHeight="1">
      <c r="A107" s="553" t="e">
        <f>L_CViec!#REF!</f>
        <v>#REF!</v>
      </c>
      <c r="B107" s="574" t="e">
        <f>L_CViec!#REF!</f>
        <v>#REF!</v>
      </c>
      <c r="C107" s="555" t="e">
        <f>L_CViec!#REF!</f>
        <v>#REF!</v>
      </c>
      <c r="D107" s="555" t="e">
        <f>L_CViec!#REF!</f>
        <v>#REF!</v>
      </c>
      <c r="E107" s="555" t="e">
        <f>L_CViec!#REF!</f>
        <v>#REF!</v>
      </c>
      <c r="F107" s="555" t="e">
        <f>L_CViec!#REF!</f>
        <v>#REF!</v>
      </c>
      <c r="G107" s="555" t="e">
        <f>L_CViec!#REF!</f>
        <v>#REF!</v>
      </c>
      <c r="H107" s="706" t="e">
        <f>L_CViec!#REF!</f>
        <v>#REF!</v>
      </c>
      <c r="I107" s="706" t="e">
        <f>L_CViec!#REF!</f>
        <v>#REF!</v>
      </c>
      <c r="J107" s="556" t="e">
        <f>L_CViec!#REF!</f>
        <v>#REF!</v>
      </c>
      <c r="K107" s="707" t="e">
        <f>G107*$J107*L_CBac!$G$68</f>
        <v>#REF!</v>
      </c>
      <c r="L107" s="707" t="e">
        <f>H107*$J107*L_CBac!$G$68</f>
        <v>#REF!</v>
      </c>
      <c r="M107" s="707" t="e">
        <f>I107*$J107*L_CBac!$G$68</f>
        <v>#REF!</v>
      </c>
      <c r="N107" s="707" t="e">
        <f>$D107*G107*L_CBac!$J$68</f>
        <v>#REF!</v>
      </c>
      <c r="O107" s="707" t="e">
        <f>$D107*H107*L_CBac!$J$68</f>
        <v>#REF!</v>
      </c>
      <c r="P107" s="707" t="e">
        <f>$D107*I107*L_CBac!$J$68</f>
        <v>#REF!</v>
      </c>
      <c r="Q107" s="556" t="e">
        <f>$D107*G107*L_CBac!$J$69</f>
        <v>#REF!</v>
      </c>
      <c r="R107" s="556" t="e">
        <f>$D107*H107*L_CBac!$J$69</f>
        <v>#REF!</v>
      </c>
      <c r="S107" s="557" t="e">
        <f>$D107*I107*L_CBac!$J$69</f>
        <v>#REF!</v>
      </c>
    </row>
    <row r="108" spans="1:19" s="558" customFormat="1" ht="20.100000000000001" customHeight="1">
      <c r="A108" s="553" t="e">
        <f>L_CViec!#REF!</f>
        <v>#REF!</v>
      </c>
      <c r="B108" s="574" t="e">
        <f>L_CViec!#REF!</f>
        <v>#REF!</v>
      </c>
      <c r="C108" s="555" t="e">
        <f>L_CViec!#REF!</f>
        <v>#REF!</v>
      </c>
      <c r="D108" s="555" t="e">
        <f>L_CViec!#REF!</f>
        <v>#REF!</v>
      </c>
      <c r="E108" s="555" t="e">
        <f>L_CViec!#REF!</f>
        <v>#REF!</v>
      </c>
      <c r="F108" s="555" t="e">
        <f>L_CViec!#REF!</f>
        <v>#REF!</v>
      </c>
      <c r="G108" s="555" t="e">
        <f>L_CViec!#REF!</f>
        <v>#REF!</v>
      </c>
      <c r="H108" s="706" t="e">
        <f>L_CViec!#REF!</f>
        <v>#REF!</v>
      </c>
      <c r="I108" s="706" t="e">
        <f>L_CViec!#REF!</f>
        <v>#REF!</v>
      </c>
      <c r="J108" s="556" t="e">
        <f>L_CViec!#REF!</f>
        <v>#REF!</v>
      </c>
      <c r="K108" s="707" t="e">
        <f>G108*$J108*L_CBac!$G$68</f>
        <v>#REF!</v>
      </c>
      <c r="L108" s="707" t="e">
        <f>H108*$J108*L_CBac!$G$68</f>
        <v>#REF!</v>
      </c>
      <c r="M108" s="707" t="e">
        <f>I108*$J108*L_CBac!$G$68</f>
        <v>#REF!</v>
      </c>
      <c r="N108" s="707" t="e">
        <f>$D108*G108*L_CBac!$J$68</f>
        <v>#REF!</v>
      </c>
      <c r="O108" s="707" t="e">
        <f>$D108*H108*L_CBac!$J$68</f>
        <v>#REF!</v>
      </c>
      <c r="P108" s="707" t="e">
        <f>$D108*I108*L_CBac!$J$68</f>
        <v>#REF!</v>
      </c>
      <c r="Q108" s="556" t="e">
        <f>$D108*G108*L_CBac!$J$69</f>
        <v>#REF!</v>
      </c>
      <c r="R108" s="556" t="e">
        <f>$D108*H108*L_CBac!$J$69</f>
        <v>#REF!</v>
      </c>
      <c r="S108" s="557" t="e">
        <f>$D108*I108*L_CBac!$J$69</f>
        <v>#REF!</v>
      </c>
    </row>
    <row r="109" spans="1:19" s="558" customFormat="1" ht="20.100000000000001" customHeight="1">
      <c r="A109" s="553" t="e">
        <f>L_CViec!#REF!</f>
        <v>#REF!</v>
      </c>
      <c r="B109" s="574" t="e">
        <f>L_CViec!#REF!</f>
        <v>#REF!</v>
      </c>
      <c r="C109" s="555" t="e">
        <f>L_CViec!#REF!</f>
        <v>#REF!</v>
      </c>
      <c r="D109" s="555" t="e">
        <f>L_CViec!#REF!</f>
        <v>#REF!</v>
      </c>
      <c r="E109" s="555" t="e">
        <f>L_CViec!#REF!</f>
        <v>#REF!</v>
      </c>
      <c r="F109" s="555" t="e">
        <f>L_CViec!#REF!</f>
        <v>#REF!</v>
      </c>
      <c r="G109" s="555" t="e">
        <f>L_CViec!#REF!</f>
        <v>#REF!</v>
      </c>
      <c r="H109" s="706" t="e">
        <f>L_CViec!#REF!</f>
        <v>#REF!</v>
      </c>
      <c r="I109" s="706" t="e">
        <f>L_CViec!#REF!</f>
        <v>#REF!</v>
      </c>
      <c r="J109" s="556" t="e">
        <f>L_CViec!#REF!</f>
        <v>#REF!</v>
      </c>
      <c r="K109" s="707" t="e">
        <f>G109*$J109*L_CBac!$G$68</f>
        <v>#REF!</v>
      </c>
      <c r="L109" s="707" t="e">
        <f>H109*$J109*L_CBac!$G$68</f>
        <v>#REF!</v>
      </c>
      <c r="M109" s="707" t="e">
        <f>I109*$J109*L_CBac!$G$68</f>
        <v>#REF!</v>
      </c>
      <c r="N109" s="707" t="e">
        <f>$D109*G109*L_CBac!$J$68</f>
        <v>#REF!</v>
      </c>
      <c r="O109" s="707" t="e">
        <f>$D109*H109*L_CBac!$J$68</f>
        <v>#REF!</v>
      </c>
      <c r="P109" s="707" t="e">
        <f>$D109*I109*L_CBac!$J$68</f>
        <v>#REF!</v>
      </c>
      <c r="Q109" s="556" t="e">
        <f>$D109*G109*L_CBac!$J$69</f>
        <v>#REF!</v>
      </c>
      <c r="R109" s="556" t="e">
        <f>$D109*H109*L_CBac!$J$69</f>
        <v>#REF!</v>
      </c>
      <c r="S109" s="557" t="e">
        <f>$D109*I109*L_CBac!$J$69</f>
        <v>#REF!</v>
      </c>
    </row>
    <row r="110" spans="1:19" s="558" customFormat="1" ht="20.100000000000001" customHeight="1">
      <c r="A110" s="553" t="e">
        <f>L_CViec!#REF!</f>
        <v>#REF!</v>
      </c>
      <c r="B110" s="574" t="e">
        <f>L_CViec!#REF!</f>
        <v>#REF!</v>
      </c>
      <c r="C110" s="555" t="e">
        <f>L_CViec!#REF!</f>
        <v>#REF!</v>
      </c>
      <c r="D110" s="555" t="e">
        <f>L_CViec!#REF!</f>
        <v>#REF!</v>
      </c>
      <c r="E110" s="555" t="e">
        <f>L_CViec!#REF!</f>
        <v>#REF!</v>
      </c>
      <c r="F110" s="555" t="e">
        <f>L_CViec!#REF!</f>
        <v>#REF!</v>
      </c>
      <c r="G110" s="555" t="e">
        <f>L_CViec!#REF!</f>
        <v>#REF!</v>
      </c>
      <c r="H110" s="706" t="e">
        <f>L_CViec!#REF!</f>
        <v>#REF!</v>
      </c>
      <c r="I110" s="706" t="e">
        <f>L_CViec!#REF!</f>
        <v>#REF!</v>
      </c>
      <c r="J110" s="556" t="e">
        <f>L_CViec!#REF!</f>
        <v>#REF!</v>
      </c>
      <c r="K110" s="707" t="e">
        <f>G110*$J110*L_CBac!$G$68</f>
        <v>#REF!</v>
      </c>
      <c r="L110" s="707" t="e">
        <f>H110*$J110*L_CBac!$G$68</f>
        <v>#REF!</v>
      </c>
      <c r="M110" s="707" t="e">
        <f>I110*$J110*L_CBac!$G$68</f>
        <v>#REF!</v>
      </c>
      <c r="N110" s="707" t="e">
        <f>$D110*G110*L_CBac!$J$68</f>
        <v>#REF!</v>
      </c>
      <c r="O110" s="707" t="e">
        <f>$D110*H110*L_CBac!$J$68</f>
        <v>#REF!</v>
      </c>
      <c r="P110" s="707" t="e">
        <f>$D110*I110*L_CBac!$J$68</f>
        <v>#REF!</v>
      </c>
      <c r="Q110" s="556" t="e">
        <f>$D110*G110*L_CBac!$J$69</f>
        <v>#REF!</v>
      </c>
      <c r="R110" s="556" t="e">
        <f>$D110*H110*L_CBac!$J$69</f>
        <v>#REF!</v>
      </c>
      <c r="S110" s="557" t="e">
        <f>$D110*I110*L_CBac!$J$69</f>
        <v>#REF!</v>
      </c>
    </row>
    <row r="111" spans="1:19" s="558" customFormat="1" ht="30">
      <c r="A111" s="553" t="str">
        <f>L_CViec!A188</f>
        <v>5</v>
      </c>
      <c r="B111" s="574" t="str">
        <f>L_CViec!B188</f>
        <v>Nhập ý kiến xác nhận của cấp tỉnh vào tệp (File) dữ liệu hồ sơ số</v>
      </c>
      <c r="C111" s="555" t="str">
        <f>L_CViec!AB188</f>
        <v>Thửa</v>
      </c>
      <c r="D111" s="555">
        <f>L_CViec!AA188</f>
        <v>1</v>
      </c>
      <c r="E111" s="555" t="str">
        <f>L_CViec!AC188</f>
        <v>1KS3</v>
      </c>
      <c r="F111" s="555" t="str">
        <f>L_CViec!AD188</f>
        <v>1-3</v>
      </c>
      <c r="G111" s="555">
        <f>L_CViec!AE188</f>
        <v>3.0000000000000001E-3</v>
      </c>
      <c r="H111" s="706">
        <f>L_CViec!AF188</f>
        <v>3.0000000000000001E-3</v>
      </c>
      <c r="I111" s="706">
        <f>L_CViec!AG188</f>
        <v>3.0000000000000001E-3</v>
      </c>
      <c r="J111" s="556">
        <f>L_CViec!AH188</f>
        <v>333450</v>
      </c>
      <c r="K111" s="707">
        <f>G111*$J111*L_CBac!$G$68</f>
        <v>1150.4024999999999</v>
      </c>
      <c r="L111" s="707">
        <f>H111*$J111*L_CBac!$G$68</f>
        <v>1150.4024999999999</v>
      </c>
      <c r="M111" s="707">
        <f>I111*$J111*L_CBac!$G$68</f>
        <v>1150.4024999999999</v>
      </c>
      <c r="N111" s="707">
        <f>$D111*G111*L_CBac!$J$68</f>
        <v>76.6935</v>
      </c>
      <c r="O111" s="707">
        <f>$D111*H111*L_CBac!$J$68</f>
        <v>76.6935</v>
      </c>
      <c r="P111" s="707">
        <f>$D111*I111*L_CBac!$J$68</f>
        <v>76.6935</v>
      </c>
      <c r="Q111" s="556">
        <f>$D111*G111*L_CBac!$J$69</f>
        <v>84.230769230769241</v>
      </c>
      <c r="R111" s="556">
        <f>$D111*H111*L_CBac!$J$69</f>
        <v>84.230769230769241</v>
      </c>
      <c r="S111" s="557">
        <f>$D111*I111*L_CBac!$J$69</f>
        <v>84.230769230769241</v>
      </c>
    </row>
    <row r="112" spans="1:19" s="558" customFormat="1" ht="44.25" customHeight="1">
      <c r="A112" s="553" t="e">
        <f>L_CViec!#REF!</f>
        <v>#REF!</v>
      </c>
      <c r="B112" s="574" t="e">
        <f>L_CViec!#REF!</f>
        <v>#REF!</v>
      </c>
      <c r="C112" s="555" t="e">
        <f>L_CViec!#REF!</f>
        <v>#REF!</v>
      </c>
      <c r="D112" s="555" t="e">
        <f>L_CViec!#REF!</f>
        <v>#REF!</v>
      </c>
      <c r="E112" s="555" t="e">
        <f>L_CViec!#REF!</f>
        <v>#REF!</v>
      </c>
      <c r="F112" s="555" t="e">
        <f>L_CViec!#REF!</f>
        <v>#REF!</v>
      </c>
      <c r="G112" s="555" t="e">
        <f>L_CViec!#REF!</f>
        <v>#REF!</v>
      </c>
      <c r="H112" s="706" t="e">
        <f>L_CViec!#REF!</f>
        <v>#REF!</v>
      </c>
      <c r="I112" s="706" t="e">
        <f>L_CViec!#REF!</f>
        <v>#REF!</v>
      </c>
      <c r="J112" s="556" t="e">
        <f>L_CViec!#REF!</f>
        <v>#REF!</v>
      </c>
      <c r="K112" s="707"/>
      <c r="L112" s="707"/>
      <c r="M112" s="707"/>
      <c r="N112" s="707"/>
      <c r="O112" s="707"/>
      <c r="P112" s="707"/>
      <c r="Q112" s="556"/>
      <c r="R112" s="556"/>
      <c r="S112" s="557"/>
    </row>
    <row r="113" spans="1:19" s="558" customFormat="1" ht="20.100000000000001" customHeight="1">
      <c r="A113" s="553" t="e">
        <f>L_CViec!#REF!</f>
        <v>#REF!</v>
      </c>
      <c r="B113" s="574" t="e">
        <f>L_CViec!#REF!</f>
        <v>#REF!</v>
      </c>
      <c r="C113" s="555" t="e">
        <f>L_CViec!#REF!</f>
        <v>#REF!</v>
      </c>
      <c r="D113" s="555" t="e">
        <f>L_CViec!#REF!</f>
        <v>#REF!</v>
      </c>
      <c r="E113" s="555" t="e">
        <f>L_CViec!#REF!</f>
        <v>#REF!</v>
      </c>
      <c r="F113" s="555" t="e">
        <f>L_CViec!#REF!</f>
        <v>#REF!</v>
      </c>
      <c r="G113" s="555" t="e">
        <f>L_CViec!#REF!</f>
        <v>#REF!</v>
      </c>
      <c r="H113" s="706" t="e">
        <f>L_CViec!#REF!</f>
        <v>#REF!</v>
      </c>
      <c r="I113" s="706" t="e">
        <f>L_CViec!#REF!</f>
        <v>#REF!</v>
      </c>
      <c r="J113" s="556" t="e">
        <f>L_CViec!#REF!</f>
        <v>#REF!</v>
      </c>
      <c r="K113" s="707" t="e">
        <f>G113*$J113*L_CBac!$G$68</f>
        <v>#REF!</v>
      </c>
      <c r="L113" s="707" t="e">
        <f>H113*$J113*L_CBac!$G$68</f>
        <v>#REF!</v>
      </c>
      <c r="M113" s="707" t="e">
        <f>I113*$J113*L_CBac!$G$68</f>
        <v>#REF!</v>
      </c>
      <c r="N113" s="707" t="e">
        <f>$D113*G113*L_CBac!$J$68</f>
        <v>#REF!</v>
      </c>
      <c r="O113" s="707" t="e">
        <f>$D113*H113*L_CBac!$J$68</f>
        <v>#REF!</v>
      </c>
      <c r="P113" s="707" t="e">
        <f>$D113*I113*L_CBac!$J$68</f>
        <v>#REF!</v>
      </c>
      <c r="Q113" s="556" t="e">
        <f>$D113*G113*L_CBac!$J$69</f>
        <v>#REF!</v>
      </c>
      <c r="R113" s="556" t="e">
        <f>$D113*H113*L_CBac!$J$69</f>
        <v>#REF!</v>
      </c>
      <c r="S113" s="557" t="e">
        <f>$D113*I113*L_CBac!$J$69</f>
        <v>#REF!</v>
      </c>
    </row>
    <row r="114" spans="1:19" s="558" customFormat="1" ht="20.100000000000001" customHeight="1">
      <c r="A114" s="553" t="e">
        <f>L_CViec!#REF!</f>
        <v>#REF!</v>
      </c>
      <c r="B114" s="574" t="e">
        <f>L_CViec!#REF!</f>
        <v>#REF!</v>
      </c>
      <c r="C114" s="555" t="e">
        <f>L_CViec!#REF!</f>
        <v>#REF!</v>
      </c>
      <c r="D114" s="555" t="e">
        <f>L_CViec!#REF!</f>
        <v>#REF!</v>
      </c>
      <c r="E114" s="555" t="e">
        <f>L_CViec!#REF!</f>
        <v>#REF!</v>
      </c>
      <c r="F114" s="555" t="e">
        <f>L_CViec!#REF!</f>
        <v>#REF!</v>
      </c>
      <c r="G114" s="555" t="e">
        <f>L_CViec!#REF!</f>
        <v>#REF!</v>
      </c>
      <c r="H114" s="706" t="e">
        <f>L_CViec!#REF!</f>
        <v>#REF!</v>
      </c>
      <c r="I114" s="706" t="e">
        <f>L_CViec!#REF!</f>
        <v>#REF!</v>
      </c>
      <c r="J114" s="556" t="e">
        <f>L_CViec!#REF!</f>
        <v>#REF!</v>
      </c>
      <c r="K114" s="707" t="e">
        <f>G114*$J114*L_CBac!$G$68</f>
        <v>#REF!</v>
      </c>
      <c r="L114" s="707" t="e">
        <f>H114*$J114*L_CBac!$G$68</f>
        <v>#REF!</v>
      </c>
      <c r="M114" s="707" t="e">
        <f>I114*$J114*L_CBac!$G$68</f>
        <v>#REF!</v>
      </c>
      <c r="N114" s="707" t="e">
        <f>$D114*G114*L_CBac!$J$68</f>
        <v>#REF!</v>
      </c>
      <c r="O114" s="707" t="e">
        <f>$D114*H114*L_CBac!$J$68</f>
        <v>#REF!</v>
      </c>
      <c r="P114" s="707" t="e">
        <f>$D114*I114*L_CBac!$J$68</f>
        <v>#REF!</v>
      </c>
      <c r="Q114" s="556" t="e">
        <f>$D114*G114*L_CBac!$J$69</f>
        <v>#REF!</v>
      </c>
      <c r="R114" s="556" t="e">
        <f>$D114*H114*L_CBac!$J$69</f>
        <v>#REF!</v>
      </c>
      <c r="S114" s="557" t="e">
        <f>$D114*I114*L_CBac!$J$69</f>
        <v>#REF!</v>
      </c>
    </row>
    <row r="115" spans="1:19" s="558" customFormat="1" ht="15">
      <c r="A115" s="553" t="e">
        <f>L_CViec!#REF!</f>
        <v>#REF!</v>
      </c>
      <c r="B115" s="574" t="e">
        <f>L_CViec!#REF!</f>
        <v>#REF!</v>
      </c>
      <c r="C115" s="555" t="e">
        <f>L_CViec!#REF!</f>
        <v>#REF!</v>
      </c>
      <c r="D115" s="555" t="e">
        <f>L_CViec!#REF!</f>
        <v>#REF!</v>
      </c>
      <c r="E115" s="555" t="e">
        <f>L_CViec!#REF!</f>
        <v>#REF!</v>
      </c>
      <c r="F115" s="555" t="e">
        <f>L_CViec!#REF!</f>
        <v>#REF!</v>
      </c>
      <c r="G115" s="555" t="e">
        <f>L_CViec!#REF!</f>
        <v>#REF!</v>
      </c>
      <c r="H115" s="706" t="e">
        <f>L_CViec!#REF!</f>
        <v>#REF!</v>
      </c>
      <c r="I115" s="706" t="e">
        <f>L_CViec!#REF!</f>
        <v>#REF!</v>
      </c>
      <c r="J115" s="556" t="e">
        <f>L_CViec!#REF!</f>
        <v>#REF!</v>
      </c>
      <c r="K115" s="707"/>
      <c r="L115" s="707"/>
      <c r="M115" s="707"/>
      <c r="N115" s="707"/>
      <c r="O115" s="707"/>
      <c r="P115" s="707"/>
      <c r="Q115" s="556"/>
      <c r="R115" s="556"/>
      <c r="S115" s="557"/>
    </row>
    <row r="116" spans="1:19" s="558" customFormat="1" ht="20.100000000000001" customHeight="1">
      <c r="A116" s="553" t="e">
        <f>L_CViec!#REF!</f>
        <v>#REF!</v>
      </c>
      <c r="B116" s="574" t="e">
        <f>L_CViec!#REF!</f>
        <v>#REF!</v>
      </c>
      <c r="C116" s="555" t="e">
        <f>L_CViec!#REF!</f>
        <v>#REF!</v>
      </c>
      <c r="D116" s="555" t="e">
        <f>L_CViec!#REF!</f>
        <v>#REF!</v>
      </c>
      <c r="E116" s="555" t="e">
        <f>L_CViec!#REF!</f>
        <v>#REF!</v>
      </c>
      <c r="F116" s="555" t="e">
        <f>L_CViec!#REF!</f>
        <v>#REF!</v>
      </c>
      <c r="G116" s="555" t="e">
        <f>L_CViec!#REF!</f>
        <v>#REF!</v>
      </c>
      <c r="H116" s="706" t="e">
        <f>L_CViec!#REF!</f>
        <v>#REF!</v>
      </c>
      <c r="I116" s="706" t="e">
        <f>L_CViec!#REF!</f>
        <v>#REF!</v>
      </c>
      <c r="J116" s="556" t="e">
        <f>L_CViec!#REF!</f>
        <v>#REF!</v>
      </c>
      <c r="K116" s="707" t="e">
        <f>G116*$J116*L_CBac!$G$68</f>
        <v>#REF!</v>
      </c>
      <c r="L116" s="707" t="e">
        <f>H116*$J116*L_CBac!$G$68</f>
        <v>#REF!</v>
      </c>
      <c r="M116" s="707" t="e">
        <f>I116*$J116*L_CBac!$G$68</f>
        <v>#REF!</v>
      </c>
      <c r="N116" s="707" t="e">
        <f>$D116*G116*L_CBac!$J$68</f>
        <v>#REF!</v>
      </c>
      <c r="O116" s="707" t="e">
        <f>$D116*H116*L_CBac!$J$68</f>
        <v>#REF!</v>
      </c>
      <c r="P116" s="707" t="e">
        <f>$D116*I116*L_CBac!$J$68</f>
        <v>#REF!</v>
      </c>
      <c r="Q116" s="556" t="e">
        <f>$D116*G116*L_CBac!$J$69</f>
        <v>#REF!</v>
      </c>
      <c r="R116" s="556" t="e">
        <f>$D116*H116*L_CBac!$J$69</f>
        <v>#REF!</v>
      </c>
      <c r="S116" s="557" t="e">
        <f>$D116*I116*L_CBac!$J$69</f>
        <v>#REF!</v>
      </c>
    </row>
    <row r="117" spans="1:19" s="558" customFormat="1" ht="20.100000000000001" customHeight="1">
      <c r="A117" s="553" t="e">
        <f>L_CViec!#REF!</f>
        <v>#REF!</v>
      </c>
      <c r="B117" s="574" t="e">
        <f>L_CViec!#REF!</f>
        <v>#REF!</v>
      </c>
      <c r="C117" s="555" t="e">
        <f>L_CViec!#REF!</f>
        <v>#REF!</v>
      </c>
      <c r="D117" s="555" t="e">
        <f>L_CViec!#REF!</f>
        <v>#REF!</v>
      </c>
      <c r="E117" s="555" t="e">
        <f>L_CViec!#REF!</f>
        <v>#REF!</v>
      </c>
      <c r="F117" s="555" t="e">
        <f>L_CViec!#REF!</f>
        <v>#REF!</v>
      </c>
      <c r="G117" s="555" t="e">
        <f>L_CViec!#REF!</f>
        <v>#REF!</v>
      </c>
      <c r="H117" s="706" t="e">
        <f>L_CViec!#REF!</f>
        <v>#REF!</v>
      </c>
      <c r="I117" s="706" t="e">
        <f>L_CViec!#REF!</f>
        <v>#REF!</v>
      </c>
      <c r="J117" s="556" t="e">
        <f>L_CViec!#REF!</f>
        <v>#REF!</v>
      </c>
      <c r="K117" s="707" t="e">
        <f>G117*$J117*L_CBac!$G$68</f>
        <v>#REF!</v>
      </c>
      <c r="L117" s="707" t="e">
        <f>H117*$J117*L_CBac!$G$68</f>
        <v>#REF!</v>
      </c>
      <c r="M117" s="707" t="e">
        <f>I117*$J117*L_CBac!$G$68</f>
        <v>#REF!</v>
      </c>
      <c r="N117" s="707" t="e">
        <f>$D117*G117*L_CBac!$J$68</f>
        <v>#REF!</v>
      </c>
      <c r="O117" s="707" t="e">
        <f>$D117*H117*L_CBac!$J$68</f>
        <v>#REF!</v>
      </c>
      <c r="P117" s="707" t="e">
        <f>$D117*I117*L_CBac!$J$68</f>
        <v>#REF!</v>
      </c>
      <c r="Q117" s="556" t="e">
        <f>$D117*G117*L_CBac!$J$69</f>
        <v>#REF!</v>
      </c>
      <c r="R117" s="556" t="e">
        <f>$D117*H117*L_CBac!$J$69</f>
        <v>#REF!</v>
      </c>
      <c r="S117" s="557" t="e">
        <f>$D117*I117*L_CBac!$J$69</f>
        <v>#REF!</v>
      </c>
    </row>
    <row r="118" spans="1:19" s="552" customFormat="1" ht="15">
      <c r="A118" s="546" t="e">
        <f>L_CViec!#REF!</f>
        <v>#REF!</v>
      </c>
      <c r="B118" s="559" t="e">
        <f>L_CViec!#REF!</f>
        <v>#REF!</v>
      </c>
      <c r="C118" s="548" t="e">
        <f>L_CViec!#REF!</f>
        <v>#REF!</v>
      </c>
      <c r="D118" s="548" t="e">
        <f>L_CViec!#REF!</f>
        <v>#REF!</v>
      </c>
      <c r="E118" s="548" t="e">
        <f>L_CViec!#REF!</f>
        <v>#REF!</v>
      </c>
      <c r="F118" s="548" t="e">
        <f>L_CViec!#REF!</f>
        <v>#REF!</v>
      </c>
      <c r="G118" s="548" t="e">
        <f>L_CViec!#REF!</f>
        <v>#REF!</v>
      </c>
      <c r="H118" s="704" t="e">
        <f>L_CViec!#REF!</f>
        <v>#REF!</v>
      </c>
      <c r="I118" s="704" t="e">
        <f>L_CViec!#REF!</f>
        <v>#REF!</v>
      </c>
      <c r="J118" s="550" t="e">
        <f>L_CViec!#REF!</f>
        <v>#REF!</v>
      </c>
      <c r="K118" s="705"/>
      <c r="L118" s="705"/>
      <c r="M118" s="705"/>
      <c r="N118" s="705"/>
      <c r="O118" s="705"/>
      <c r="P118" s="705"/>
      <c r="Q118" s="550"/>
      <c r="R118" s="550"/>
      <c r="S118" s="551"/>
    </row>
    <row r="119" spans="1:19" s="558" customFormat="1" ht="15">
      <c r="A119" s="553" t="e">
        <f>L_CViec!#REF!</f>
        <v>#REF!</v>
      </c>
      <c r="B119" s="574" t="e">
        <f>L_CViec!#REF!</f>
        <v>#REF!</v>
      </c>
      <c r="C119" s="555" t="e">
        <f>L_CViec!#REF!</f>
        <v>#REF!</v>
      </c>
      <c r="D119" s="555" t="e">
        <f>L_CViec!#REF!</f>
        <v>#REF!</v>
      </c>
      <c r="E119" s="555" t="e">
        <f>L_CViec!#REF!</f>
        <v>#REF!</v>
      </c>
      <c r="F119" s="555" t="e">
        <f>L_CViec!#REF!</f>
        <v>#REF!</v>
      </c>
      <c r="G119" s="555" t="e">
        <f>L_CViec!#REF!</f>
        <v>#REF!</v>
      </c>
      <c r="H119" s="706" t="e">
        <f>L_CViec!#REF!</f>
        <v>#REF!</v>
      </c>
      <c r="I119" s="706" t="e">
        <f>L_CViec!#REF!</f>
        <v>#REF!</v>
      </c>
      <c r="J119" s="556" t="e">
        <f>L_CViec!#REF!</f>
        <v>#REF!</v>
      </c>
      <c r="K119" s="707" t="e">
        <f>G119*$J119*L_CBac!$G$68</f>
        <v>#REF!</v>
      </c>
      <c r="L119" s="707" t="e">
        <f>H119*$J119*L_CBac!$G$68</f>
        <v>#REF!</v>
      </c>
      <c r="M119" s="707" t="e">
        <f>I119*$J119*L_CBac!$G$68</f>
        <v>#REF!</v>
      </c>
      <c r="N119" s="707" t="e">
        <f>$D119*G119*L_CBac!$J$68</f>
        <v>#REF!</v>
      </c>
      <c r="O119" s="707" t="e">
        <f>$D119*H119*L_CBac!$J$68</f>
        <v>#REF!</v>
      </c>
      <c r="P119" s="707" t="e">
        <f>$D119*I119*L_CBac!$J$68</f>
        <v>#REF!</v>
      </c>
      <c r="Q119" s="556" t="e">
        <f>$D119*G119*L_CBac!$J$69</f>
        <v>#REF!</v>
      </c>
      <c r="R119" s="556" t="e">
        <f>$D119*H119*L_CBac!$J$69</f>
        <v>#REF!</v>
      </c>
      <c r="S119" s="557" t="e">
        <f>$D119*I119*L_CBac!$J$69</f>
        <v>#REF!</v>
      </c>
    </row>
    <row r="120" spans="1:19" s="558" customFormat="1" ht="15">
      <c r="A120" s="553" t="e">
        <f>L_CViec!#REF!</f>
        <v>#REF!</v>
      </c>
      <c r="B120" s="574" t="e">
        <f>L_CViec!#REF!</f>
        <v>#REF!</v>
      </c>
      <c r="C120" s="555" t="e">
        <f>L_CViec!#REF!</f>
        <v>#REF!</v>
      </c>
      <c r="D120" s="555" t="e">
        <f>L_CViec!#REF!</f>
        <v>#REF!</v>
      </c>
      <c r="E120" s="555" t="e">
        <f>L_CViec!#REF!</f>
        <v>#REF!</v>
      </c>
      <c r="F120" s="555" t="e">
        <f>L_CViec!#REF!</f>
        <v>#REF!</v>
      </c>
      <c r="G120" s="555" t="e">
        <f>L_CViec!#REF!</f>
        <v>#REF!</v>
      </c>
      <c r="H120" s="706" t="e">
        <f>L_CViec!#REF!</f>
        <v>#REF!</v>
      </c>
      <c r="I120" s="706" t="e">
        <f>L_CViec!#REF!</f>
        <v>#REF!</v>
      </c>
      <c r="J120" s="556" t="e">
        <f>L_CViec!#REF!</f>
        <v>#REF!</v>
      </c>
      <c r="K120" s="707" t="e">
        <f>G120*$J120*L_CBac!$G$68</f>
        <v>#REF!</v>
      </c>
      <c r="L120" s="707" t="e">
        <f>H120*$J120*L_CBac!$G$68</f>
        <v>#REF!</v>
      </c>
      <c r="M120" s="707" t="e">
        <f>I120*$J120*L_CBac!$G$68</f>
        <v>#REF!</v>
      </c>
      <c r="N120" s="707" t="e">
        <f>$D120*G120*L_CBac!$J$68</f>
        <v>#REF!</v>
      </c>
      <c r="O120" s="707" t="e">
        <f>$D120*H120*L_CBac!$J$68</f>
        <v>#REF!</v>
      </c>
      <c r="P120" s="707" t="e">
        <f>$D120*I120*L_CBac!$J$68</f>
        <v>#REF!</v>
      </c>
      <c r="Q120" s="556" t="e">
        <f>$D120*G120*L_CBac!$J$69</f>
        <v>#REF!</v>
      </c>
      <c r="R120" s="556" t="e">
        <f>$D120*H120*L_CBac!$J$69</f>
        <v>#REF!</v>
      </c>
      <c r="S120" s="557" t="e">
        <f>$D120*I120*L_CBac!$J$69</f>
        <v>#REF!</v>
      </c>
    </row>
    <row r="121" spans="1:19" s="552" customFormat="1" ht="30">
      <c r="A121" s="546" t="str">
        <f>L_CViec!A189</f>
        <v>6</v>
      </c>
      <c r="B121" s="559" t="str">
        <f>L_CViec!B189</f>
        <v>Nhận thông báo hoàn thành nghĩa vụ tài chính từ cơ quan thuế</v>
      </c>
      <c r="C121" s="548" t="str">
        <f>L_CViec!AB189</f>
        <v>Hồ sơ</v>
      </c>
      <c r="D121" s="548">
        <f>L_CViec!AA189</f>
        <v>1</v>
      </c>
      <c r="E121" s="548" t="str">
        <f>L_CViec!AC189</f>
        <v>1KS2</v>
      </c>
      <c r="F121" s="548" t="str">
        <f>L_CViec!AD189</f>
        <v>1-3</v>
      </c>
      <c r="G121" s="548">
        <f>L_CViec!AE189</f>
        <v>3.3000000000000002E-2</v>
      </c>
      <c r="H121" s="704">
        <f>L_CViec!AF189</f>
        <v>3.3000000000000002E-2</v>
      </c>
      <c r="I121" s="704">
        <f>L_CViec!AG189</f>
        <v>3.3000000000000002E-2</v>
      </c>
      <c r="J121" s="550">
        <f>L_CViec!AH189</f>
        <v>296770.5</v>
      </c>
      <c r="K121" s="705">
        <f>G121*$J121*L_CBac!$G$68</f>
        <v>11262.440474999999</v>
      </c>
      <c r="L121" s="705">
        <f>H121*$J121*L_CBac!$G$68</f>
        <v>11262.440474999999</v>
      </c>
      <c r="M121" s="705">
        <f>I121*$J121*L_CBac!$G$68</f>
        <v>11262.440474999999</v>
      </c>
      <c r="N121" s="705">
        <f>$D121*G121*L_CBac!$J$68</f>
        <v>843.62850000000003</v>
      </c>
      <c r="O121" s="705">
        <f>$D121*H121*L_CBac!$J$68</f>
        <v>843.62850000000003</v>
      </c>
      <c r="P121" s="705">
        <f>$D121*I121*L_CBac!$J$68</f>
        <v>843.62850000000003</v>
      </c>
      <c r="Q121" s="550">
        <f>$D121*G121*L_CBac!$J$69</f>
        <v>926.53846153846166</v>
      </c>
      <c r="R121" s="550">
        <f>$D121*H121*L_CBac!$J$69</f>
        <v>926.53846153846166</v>
      </c>
      <c r="S121" s="551">
        <f>$D121*I121*L_CBac!$J$69</f>
        <v>926.53846153846166</v>
      </c>
    </row>
    <row r="122" spans="1:19" s="552" customFormat="1" ht="20.100000000000001" customHeight="1">
      <c r="A122" s="546" t="str">
        <f>L_CViec!A190</f>
        <v>7</v>
      </c>
      <c r="B122" s="559" t="str">
        <f>L_CViec!B190</f>
        <v>Chuẩn bị hợp đồng cho thuê đất (nếu có)</v>
      </c>
      <c r="C122" s="548" t="str">
        <f>L_CViec!AB190</f>
        <v>Hồ sơ</v>
      </c>
      <c r="D122" s="548">
        <f>L_CViec!AA190</f>
        <v>1</v>
      </c>
      <c r="E122" s="548" t="str">
        <f>L_CViec!AC190</f>
        <v>1KS3</v>
      </c>
      <c r="F122" s="548" t="str">
        <f>L_CViec!AD190</f>
        <v>1-3</v>
      </c>
      <c r="G122" s="548">
        <f>L_CViec!AE190</f>
        <v>0.2</v>
      </c>
      <c r="H122" s="704">
        <f>L_CViec!AF190</f>
        <v>0</v>
      </c>
      <c r="I122" s="704">
        <f>L_CViec!AG190</f>
        <v>0.2</v>
      </c>
      <c r="J122" s="550">
        <f>L_CViec!AH190</f>
        <v>333450</v>
      </c>
      <c r="K122" s="705">
        <f>G122*$J122*L_CBac!$G$68</f>
        <v>76693.5</v>
      </c>
      <c r="L122" s="705">
        <f>H122*$J122*L_CBac!$G$68</f>
        <v>0</v>
      </c>
      <c r="M122" s="705">
        <f>I122*$J122*L_CBac!$G$68</f>
        <v>76693.5</v>
      </c>
      <c r="N122" s="705">
        <f>$D122*G122*L_CBac!$J$68</f>
        <v>5112.9000000000005</v>
      </c>
      <c r="O122" s="705">
        <f>$D122*H122*L_CBac!$J$68</f>
        <v>0</v>
      </c>
      <c r="P122" s="705">
        <f>$D122*I122*L_CBac!$J$68</f>
        <v>5112.9000000000005</v>
      </c>
      <c r="Q122" s="550">
        <f>$D122*G122*L_CBac!$J$69</f>
        <v>5615.3846153846162</v>
      </c>
      <c r="R122" s="550">
        <f>$D122*H122*L_CBac!$J$69</f>
        <v>0</v>
      </c>
      <c r="S122" s="551">
        <f>$D122*I122*L_CBac!$J$69</f>
        <v>5615.3846153846162</v>
      </c>
    </row>
    <row r="123" spans="1:19" s="552" customFormat="1" ht="20.100000000000001" customHeight="1">
      <c r="A123" s="546" t="str">
        <f>L_CViec!A191</f>
        <v>8</v>
      </c>
      <c r="B123" s="559" t="str">
        <f>L_CViec!B191</f>
        <v>In GCN</v>
      </c>
      <c r="C123" s="573">
        <f>L_CViec!AB191</f>
        <v>0</v>
      </c>
      <c r="D123" s="573">
        <f>L_CViec!AA191</f>
        <v>0</v>
      </c>
      <c r="E123" s="573">
        <f>L_CViec!AC191</f>
        <v>0</v>
      </c>
      <c r="F123" s="573">
        <f>L_CViec!AD191</f>
        <v>0</v>
      </c>
      <c r="G123" s="573">
        <f>L_CViec!AE191</f>
        <v>0</v>
      </c>
      <c r="H123" s="704">
        <f>L_CViec!AF191</f>
        <v>0</v>
      </c>
      <c r="I123" s="704">
        <f>L_CViec!AG191</f>
        <v>0</v>
      </c>
      <c r="J123" s="550">
        <f>L_CViec!AH191</f>
        <v>0</v>
      </c>
      <c r="K123" s="705"/>
      <c r="L123" s="705"/>
      <c r="M123" s="705"/>
      <c r="N123" s="705"/>
      <c r="O123" s="705"/>
      <c r="P123" s="705"/>
      <c r="Q123" s="550"/>
      <c r="R123" s="550"/>
      <c r="S123" s="551"/>
    </row>
    <row r="124" spans="1:19" s="558" customFormat="1" ht="20.100000000000001" customHeight="1">
      <c r="A124" s="553" t="str">
        <f>L_CViec!A192</f>
        <v>8.1</v>
      </c>
      <c r="B124" s="574" t="str">
        <f>L_CViec!B192</f>
        <v>Trực tiếp từ cơ sở dữ liệu dạng số</v>
      </c>
      <c r="C124" s="555" t="str">
        <f>L_CViec!AB192</f>
        <v>GCN</v>
      </c>
      <c r="D124" s="555">
        <f>L_CViec!AA192</f>
        <v>1</v>
      </c>
      <c r="E124" s="555" t="str">
        <f>L_CViec!AC192</f>
        <v>1KS2</v>
      </c>
      <c r="F124" s="555" t="str">
        <f>L_CViec!AD192</f>
        <v>1-3</v>
      </c>
      <c r="G124" s="555">
        <f>L_CViec!AE192</f>
        <v>0.1</v>
      </c>
      <c r="H124" s="706">
        <f>L_CViec!AF192</f>
        <v>0.1</v>
      </c>
      <c r="I124" s="706">
        <f>L_CViec!AG192</f>
        <v>0.1</v>
      </c>
      <c r="J124" s="556">
        <f>L_CViec!AH192</f>
        <v>296770.5</v>
      </c>
      <c r="K124" s="707">
        <f>G124*$J124*L_CBac!$G$68</f>
        <v>34128.607499999998</v>
      </c>
      <c r="L124" s="707">
        <f>H124*$J124*L_CBac!$G$68</f>
        <v>34128.607499999998</v>
      </c>
      <c r="M124" s="707">
        <f>I124*$J124*L_CBac!$G$68</f>
        <v>34128.607499999998</v>
      </c>
      <c r="N124" s="707">
        <f>$D124*G124*L_CBac!$J$68</f>
        <v>2556.4500000000003</v>
      </c>
      <c r="O124" s="707">
        <f>$D124*H124*L_CBac!$J$68</f>
        <v>2556.4500000000003</v>
      </c>
      <c r="P124" s="707">
        <f>$D124*I124*L_CBac!$J$68</f>
        <v>2556.4500000000003</v>
      </c>
      <c r="Q124" s="556">
        <f>$D124*G124*L_CBac!$J$69</f>
        <v>2807.6923076923081</v>
      </c>
      <c r="R124" s="556">
        <f>$D124*H124*L_CBac!$J$69</f>
        <v>2807.6923076923081</v>
      </c>
      <c r="S124" s="557">
        <f>$D124*I124*L_CBac!$J$69</f>
        <v>2807.6923076923081</v>
      </c>
    </row>
    <row r="125" spans="1:19" s="558" customFormat="1" ht="20.100000000000001" customHeight="1">
      <c r="A125" s="553" t="str">
        <f>L_CViec!A193</f>
        <v>8.2</v>
      </c>
      <c r="B125" s="574" t="str">
        <f>L_CViec!B193</f>
        <v>Đối với những nơi chưa có bản đồ dạng số</v>
      </c>
      <c r="C125" s="555" t="str">
        <f>L_CViec!AB193</f>
        <v>GCN</v>
      </c>
      <c r="D125" s="555">
        <f>L_CViec!AA193</f>
        <v>1</v>
      </c>
      <c r="E125" s="555" t="str">
        <f>L_CViec!AC193</f>
        <v>1KS2</v>
      </c>
      <c r="F125" s="555" t="str">
        <f>L_CViec!AD193</f>
        <v>1-3</v>
      </c>
      <c r="G125" s="555">
        <f>L_CViec!AE193</f>
        <v>0.15</v>
      </c>
      <c r="H125" s="706">
        <f>L_CViec!AF193</f>
        <v>0.2</v>
      </c>
      <c r="I125" s="706">
        <f>L_CViec!AG193</f>
        <v>0.2</v>
      </c>
      <c r="J125" s="556">
        <f>L_CViec!AH193</f>
        <v>296770.5</v>
      </c>
      <c r="K125" s="707">
        <f>G125*$J125*L_CBac!$G$68</f>
        <v>51192.91124999999</v>
      </c>
      <c r="L125" s="707">
        <f>H125*$J125*L_CBac!$G$68</f>
        <v>68257.214999999997</v>
      </c>
      <c r="M125" s="707">
        <f>I125*$J125*L_CBac!$G$68</f>
        <v>68257.214999999997</v>
      </c>
      <c r="N125" s="707">
        <f>$D125*G125*L_CBac!$J$68</f>
        <v>3834.6749999999997</v>
      </c>
      <c r="O125" s="707">
        <f>$D125*H125*L_CBac!$J$68</f>
        <v>5112.9000000000005</v>
      </c>
      <c r="P125" s="707">
        <f>$D125*I125*L_CBac!$J$68</f>
        <v>5112.9000000000005</v>
      </c>
      <c r="Q125" s="556">
        <f>$D125*G125*L_CBac!$J$69</f>
        <v>4211.5384615384619</v>
      </c>
      <c r="R125" s="556">
        <f>$D125*H125*L_CBac!$J$69</f>
        <v>5615.3846153846162</v>
      </c>
      <c r="S125" s="557">
        <f>$D125*I125*L_CBac!$J$69</f>
        <v>5615.3846153846162</v>
      </c>
    </row>
    <row r="126" spans="1:19" s="552" customFormat="1" ht="15">
      <c r="A126" s="546" t="str">
        <f>L_CViec!A194</f>
        <v>9</v>
      </c>
      <c r="B126" s="559" t="str">
        <f>L_CViec!B194</f>
        <v>Lập hồ sơ trình ký Giấy chứng nhận</v>
      </c>
      <c r="C126" s="548" t="str">
        <f>L_CViec!AB194</f>
        <v>Hồ sơ</v>
      </c>
      <c r="D126" s="548">
        <f>L_CViec!AA194</f>
        <v>1</v>
      </c>
      <c r="E126" s="548" t="str">
        <f>L_CViec!AC194</f>
        <v>1KS3</v>
      </c>
      <c r="F126" s="548" t="str">
        <f>L_CViec!AD194</f>
        <v>1-3</v>
      </c>
      <c r="G126" s="548">
        <f>L_CViec!AE194</f>
        <v>0.5</v>
      </c>
      <c r="H126" s="704">
        <f>L_CViec!AF194</f>
        <v>0.5</v>
      </c>
      <c r="I126" s="704">
        <f>L_CViec!AG194</f>
        <v>0.65</v>
      </c>
      <c r="J126" s="550">
        <f>L_CViec!AH194</f>
        <v>333450</v>
      </c>
      <c r="K126" s="705">
        <f>G126*$J126*L_CBac!$G$68</f>
        <v>191733.74999999997</v>
      </c>
      <c r="L126" s="705">
        <f>H126*$J126*L_CBac!$G$68</f>
        <v>191733.74999999997</v>
      </c>
      <c r="M126" s="705">
        <f>I126*$J126*L_CBac!$G$68</f>
        <v>249253.87499999997</v>
      </c>
      <c r="N126" s="705">
        <f>$D126*G126*L_CBac!$J$68</f>
        <v>12782.25</v>
      </c>
      <c r="O126" s="705">
        <f>$D126*H126*L_CBac!$J$68</f>
        <v>12782.25</v>
      </c>
      <c r="P126" s="705">
        <f>$D126*I126*L_CBac!$J$68</f>
        <v>16616.924999999999</v>
      </c>
      <c r="Q126" s="550">
        <f>$D126*G126*L_CBac!$J$69</f>
        <v>14038.461538461539</v>
      </c>
      <c r="R126" s="550">
        <f>$D126*H126*L_CBac!$J$69</f>
        <v>14038.461538461539</v>
      </c>
      <c r="S126" s="551">
        <f>$D126*I126*L_CBac!$J$69</f>
        <v>18250</v>
      </c>
    </row>
    <row r="127" spans="1:19" s="552" customFormat="1" ht="30">
      <c r="A127" s="546" t="str">
        <f>L_CViec!A195</f>
        <v>10</v>
      </c>
      <c r="B127" s="559" t="str">
        <f>L_CViec!B195</f>
        <v>Nhận lại hồ sơ, GCN, hợp đồng thuê đất; lập và sao sổ cấp Giấy chứng nhận</v>
      </c>
      <c r="C127" s="548" t="str">
        <f>L_CViec!AB195</f>
        <v>Hồ sơ</v>
      </c>
      <c r="D127" s="548">
        <f>L_CViec!AA195</f>
        <v>1</v>
      </c>
      <c r="E127" s="548" t="str">
        <f>L_CViec!AC195</f>
        <v>1KS2</v>
      </c>
      <c r="F127" s="548" t="str">
        <f>L_CViec!AD195</f>
        <v>1-3</v>
      </c>
      <c r="G127" s="548">
        <f>L_CViec!AE195</f>
        <v>0.47</v>
      </c>
      <c r="H127" s="704">
        <f>L_CViec!AF195</f>
        <v>0.47</v>
      </c>
      <c r="I127" s="704">
        <f>L_CViec!AG195</f>
        <v>0.61099999999999999</v>
      </c>
      <c r="J127" s="550">
        <f>L_CViec!AH195</f>
        <v>296770.5</v>
      </c>
      <c r="K127" s="705">
        <f>G127*$J127*L_CBac!$G$68</f>
        <v>160404.45524999997</v>
      </c>
      <c r="L127" s="705">
        <f>H127*$J127*L_CBac!$G$68</f>
        <v>160404.45524999997</v>
      </c>
      <c r="M127" s="705">
        <f>I127*$J127*L_CBac!$G$68</f>
        <v>208525.79182499996</v>
      </c>
      <c r="N127" s="705">
        <f>$D127*G127*L_CBac!$J$68</f>
        <v>12015.314999999999</v>
      </c>
      <c r="O127" s="705">
        <f>$D127*H127*L_CBac!$J$68</f>
        <v>12015.314999999999</v>
      </c>
      <c r="P127" s="705">
        <f>$D127*I127*L_CBac!$J$68</f>
        <v>15619.9095</v>
      </c>
      <c r="Q127" s="550">
        <f>$D127*G127*L_CBac!$J$69</f>
        <v>13196.153846153846</v>
      </c>
      <c r="R127" s="550">
        <f>$D127*H127*L_CBac!$J$69</f>
        <v>13196.153846153846</v>
      </c>
      <c r="S127" s="551">
        <f>$D127*I127*L_CBac!$J$69</f>
        <v>17155</v>
      </c>
    </row>
    <row r="128" spans="1:19" s="552" customFormat="1" ht="20.100000000000001" customHeight="1">
      <c r="A128" s="546" t="str">
        <f>L_CViec!A196</f>
        <v>11</v>
      </c>
      <c r="B128" s="559" t="str">
        <f>L_CViec!B196</f>
        <v>Nhập bổ sung thông tin dữ liệu về GCN</v>
      </c>
      <c r="C128" s="548" t="str">
        <f>L_CViec!AB196</f>
        <v>Thửa</v>
      </c>
      <c r="D128" s="548">
        <f>L_CViec!AA196</f>
        <v>1</v>
      </c>
      <c r="E128" s="548" t="str">
        <f>L_CViec!AC196</f>
        <v>1KS3</v>
      </c>
      <c r="F128" s="548" t="str">
        <f>L_CViec!AD196</f>
        <v>1-3</v>
      </c>
      <c r="G128" s="548">
        <f>L_CViec!AE196</f>
        <v>3.3000000000000002E-2</v>
      </c>
      <c r="H128" s="704">
        <f>L_CViec!AF196</f>
        <v>3.3000000000000002E-2</v>
      </c>
      <c r="I128" s="704">
        <f>L_CViec!AG196</f>
        <v>3.3000000000000002E-2</v>
      </c>
      <c r="J128" s="550">
        <f>L_CViec!AH196</f>
        <v>333450</v>
      </c>
      <c r="K128" s="705">
        <f>G128*$J128*L_CBac!$G$68</f>
        <v>12654.4275</v>
      </c>
      <c r="L128" s="705">
        <f>H128*$J128*L_CBac!$G$68</f>
        <v>12654.4275</v>
      </c>
      <c r="M128" s="705">
        <f>I128*$J128*L_CBac!$G$68</f>
        <v>12654.4275</v>
      </c>
      <c r="N128" s="705">
        <f>$D128*G128*L_CBac!$J$68</f>
        <v>843.62850000000003</v>
      </c>
      <c r="O128" s="705">
        <f>$D128*H128*L_CBac!$J$68</f>
        <v>843.62850000000003</v>
      </c>
      <c r="P128" s="705">
        <f>$D128*I128*L_CBac!$J$68</f>
        <v>843.62850000000003</v>
      </c>
      <c r="Q128" s="550">
        <f>$D128*G128*L_CBac!$J$69</f>
        <v>926.53846153846166</v>
      </c>
      <c r="R128" s="550">
        <f>$D128*H128*L_CBac!$J$69</f>
        <v>926.53846153846166</v>
      </c>
      <c r="S128" s="551">
        <f>$D128*I128*L_CBac!$J$69</f>
        <v>926.53846153846166</v>
      </c>
    </row>
    <row r="129" spans="1:19" s="552" customFormat="1" ht="20.100000000000001" customHeight="1">
      <c r="A129" s="546" t="e">
        <f>L_CViec!#REF!</f>
        <v>#REF!</v>
      </c>
      <c r="B129" s="559" t="e">
        <f>L_CViec!#REF!</f>
        <v>#REF!</v>
      </c>
      <c r="C129" s="548" t="e">
        <f>L_CViec!#REF!</f>
        <v>#REF!</v>
      </c>
      <c r="D129" s="548" t="e">
        <f>L_CViec!#REF!</f>
        <v>#REF!</v>
      </c>
      <c r="E129" s="548" t="e">
        <f>L_CViec!#REF!</f>
        <v>#REF!</v>
      </c>
      <c r="F129" s="548" t="e">
        <f>L_CViec!#REF!</f>
        <v>#REF!</v>
      </c>
      <c r="G129" s="548" t="e">
        <f>L_CViec!#REF!</f>
        <v>#REF!</v>
      </c>
      <c r="H129" s="704" t="e">
        <f>L_CViec!#REF!</f>
        <v>#REF!</v>
      </c>
      <c r="I129" s="704" t="e">
        <f>L_CViec!#REF!</f>
        <v>#REF!</v>
      </c>
      <c r="J129" s="550" t="e">
        <f>L_CViec!#REF!</f>
        <v>#REF!</v>
      </c>
      <c r="K129" s="705">
        <f>K130+K133+K134</f>
        <v>25722.999899999999</v>
      </c>
      <c r="L129" s="705">
        <f t="shared" ref="L129:S129" si="14">L130+L133+L134</f>
        <v>25722.999899999999</v>
      </c>
      <c r="M129" s="705">
        <f t="shared" si="14"/>
        <v>32303.302199999995</v>
      </c>
      <c r="N129" s="705">
        <f t="shared" si="14"/>
        <v>971.45100000000002</v>
      </c>
      <c r="O129" s="705">
        <f t="shared" si="14"/>
        <v>971.45100000000002</v>
      </c>
      <c r="P129" s="705">
        <f t="shared" si="14"/>
        <v>1227.096</v>
      </c>
      <c r="Q129" s="550">
        <f t="shared" si="14"/>
        <v>1066.9230769230769</v>
      </c>
      <c r="R129" s="550">
        <f t="shared" si="14"/>
        <v>1066.9230769230769</v>
      </c>
      <c r="S129" s="551">
        <f t="shared" si="14"/>
        <v>1347.6923076923076</v>
      </c>
    </row>
    <row r="130" spans="1:19" s="558" customFormat="1" ht="15">
      <c r="A130" s="553" t="str">
        <f>L_CViec!A197</f>
        <v>12</v>
      </c>
      <c r="B130" s="574" t="str">
        <f>L_CViec!B197</f>
        <v>Quét giấy tờ bổ sung</v>
      </c>
      <c r="C130" s="555">
        <f>L_CViec!AB197</f>
        <v>0</v>
      </c>
      <c r="D130" s="555">
        <f>L_CViec!AA197</f>
        <v>0</v>
      </c>
      <c r="E130" s="555">
        <f>L_CViec!AC197</f>
        <v>0</v>
      </c>
      <c r="F130" s="555">
        <f>L_CViec!AD197</f>
        <v>0</v>
      </c>
      <c r="G130" s="555">
        <f>L_CViec!AE197</f>
        <v>0</v>
      </c>
      <c r="H130" s="706">
        <f>L_CViec!AF197</f>
        <v>0</v>
      </c>
      <c r="I130" s="706">
        <f>L_CViec!AG197</f>
        <v>0</v>
      </c>
      <c r="J130" s="556">
        <f>L_CViec!AH197</f>
        <v>0</v>
      </c>
      <c r="K130" s="707">
        <f t="shared" ref="K130:S130" si="15">SUM(K131:K132)</f>
        <v>16749.860399999998</v>
      </c>
      <c r="L130" s="707">
        <f t="shared" si="15"/>
        <v>16749.860399999998</v>
      </c>
      <c r="M130" s="707">
        <f t="shared" si="15"/>
        <v>20937.325499999995</v>
      </c>
      <c r="N130" s="707">
        <f t="shared" si="15"/>
        <v>613.548</v>
      </c>
      <c r="O130" s="707">
        <f t="shared" si="15"/>
        <v>613.548</v>
      </c>
      <c r="P130" s="707">
        <f t="shared" si="15"/>
        <v>766.93500000000006</v>
      </c>
      <c r="Q130" s="556">
        <f t="shared" si="15"/>
        <v>673.84615384615392</v>
      </c>
      <c r="R130" s="556">
        <f t="shared" si="15"/>
        <v>673.84615384615392</v>
      </c>
      <c r="S130" s="557">
        <f t="shared" si="15"/>
        <v>842.30769230769238</v>
      </c>
    </row>
    <row r="131" spans="1:19" s="558" customFormat="1" ht="20.100000000000001" customHeight="1">
      <c r="A131" s="553" t="str">
        <f>L_CViec!A198</f>
        <v>12.1</v>
      </c>
      <c r="B131" s="574" t="str">
        <f>L_CViec!B198</f>
        <v>Quét trang A3</v>
      </c>
      <c r="C131" s="555" t="str">
        <f>L_CViec!AB198</f>
        <v>Trang</v>
      </c>
      <c r="D131" s="555">
        <f>L_CViec!AA198</f>
        <v>1</v>
      </c>
      <c r="E131" s="555" t="str">
        <f>L_CViec!AC198</f>
        <v>1KS1</v>
      </c>
      <c r="F131" s="555" t="str">
        <f>L_CViec!AD198</f>
        <v>1-3</v>
      </c>
      <c r="G131" s="555">
        <f>L_CViec!AE198</f>
        <v>1.6E-2</v>
      </c>
      <c r="H131" s="706">
        <f>L_CViec!AF198</f>
        <v>1.6E-2</v>
      </c>
      <c r="I131" s="706">
        <f>L_CViec!AG198</f>
        <v>0.02</v>
      </c>
      <c r="J131" s="556">
        <f>L_CViec!AH198</f>
        <v>260091</v>
      </c>
      <c r="K131" s="707">
        <f>G131*$J131*L_CBac!$G$68*2</f>
        <v>9571.3487999999998</v>
      </c>
      <c r="L131" s="707">
        <f>H131*$J131*L_CBac!$G$68*2</f>
        <v>9571.3487999999998</v>
      </c>
      <c r="M131" s="707">
        <f>I131*$J131*L_CBac!$G$68*2</f>
        <v>11964.185999999998</v>
      </c>
      <c r="N131" s="707">
        <f>$D131*G131*L_CBac!$J$68</f>
        <v>409.03199999999998</v>
      </c>
      <c r="O131" s="707">
        <f>$D131*H131*L_CBac!$J$68</f>
        <v>409.03199999999998</v>
      </c>
      <c r="P131" s="707">
        <f>$D131*I131*L_CBac!$J$68</f>
        <v>511.29</v>
      </c>
      <c r="Q131" s="556">
        <f>$D131*G131*L_CBac!$J$69</f>
        <v>449.23076923076928</v>
      </c>
      <c r="R131" s="556">
        <f>$D131*H131*L_CBac!$J$69</f>
        <v>449.23076923076928</v>
      </c>
      <c r="S131" s="557">
        <f>$D131*I131*L_CBac!$J$69</f>
        <v>561.53846153846155</v>
      </c>
    </row>
    <row r="132" spans="1:19" s="558" customFormat="1" ht="20.100000000000001" customHeight="1">
      <c r="A132" s="553" t="str">
        <f>L_CViec!A199</f>
        <v>12.2</v>
      </c>
      <c r="B132" s="574" t="str">
        <f>L_CViec!B199</f>
        <v>Quét trang A4</v>
      </c>
      <c r="C132" s="555" t="str">
        <f>L_CViec!AB199</f>
        <v>Trang</v>
      </c>
      <c r="D132" s="555">
        <f>L_CViec!AA199</f>
        <v>1</v>
      </c>
      <c r="E132" s="555" t="str">
        <f>L_CViec!AC199</f>
        <v>1KS1</v>
      </c>
      <c r="F132" s="555" t="str">
        <f>L_CViec!AD199</f>
        <v>1-3</v>
      </c>
      <c r="G132" s="555">
        <f>L_CViec!AE199</f>
        <v>8.0000000000000002E-3</v>
      </c>
      <c r="H132" s="706">
        <f>L_CViec!AF199</f>
        <v>8.0000000000000002E-3</v>
      </c>
      <c r="I132" s="706">
        <f>L_CViec!AG199</f>
        <v>0.01</v>
      </c>
      <c r="J132" s="556">
        <f>L_CViec!AH199</f>
        <v>260091</v>
      </c>
      <c r="K132" s="707">
        <f>G132*$J132*L_CBac!$G$68*3</f>
        <v>7178.5115999999998</v>
      </c>
      <c r="L132" s="707">
        <f>H132*$J132*L_CBac!$G$68*3</f>
        <v>7178.5115999999998</v>
      </c>
      <c r="M132" s="707">
        <f>I132*$J132*L_CBac!$G$68*3</f>
        <v>8973.1394999999975</v>
      </c>
      <c r="N132" s="707">
        <f>$D132*G132*L_CBac!$J$68</f>
        <v>204.51599999999999</v>
      </c>
      <c r="O132" s="707">
        <f>$D132*H132*L_CBac!$J$68</f>
        <v>204.51599999999999</v>
      </c>
      <c r="P132" s="707">
        <f>$D132*I132*L_CBac!$J$68</f>
        <v>255.64500000000001</v>
      </c>
      <c r="Q132" s="556">
        <f>$D132*G132*L_CBac!$J$69</f>
        <v>224.61538461538464</v>
      </c>
      <c r="R132" s="556">
        <f>$D132*H132*L_CBac!$J$69</f>
        <v>224.61538461538464</v>
      </c>
      <c r="S132" s="557">
        <f>$D132*I132*L_CBac!$J$69</f>
        <v>280.76923076923077</v>
      </c>
    </row>
    <row r="133" spans="1:19" s="558" customFormat="1" ht="45">
      <c r="A133" s="553" t="str">
        <f>L_CViec!A200</f>
        <v>13</v>
      </c>
      <c r="B133" s="574" t="str">
        <f>L_CViec!B200</f>
        <v>Xử lý các tệp tin quét thành tệp (File) hồ sơ quét dạng số của thửa đất, lưu trữ dưới khuôn dạng tệp tin PDF</v>
      </c>
      <c r="C133" s="555" t="str">
        <f>L_CViec!AB200</f>
        <v>Trang</v>
      </c>
      <c r="D133" s="555">
        <f>L_CViec!AA200</f>
        <v>1</v>
      </c>
      <c r="E133" s="555" t="str">
        <f>L_CViec!AC200</f>
        <v>1KS1</v>
      </c>
      <c r="F133" s="555" t="str">
        <f>L_CViec!AD200</f>
        <v>1-3</v>
      </c>
      <c r="G133" s="555">
        <f>L_CViec!AE200</f>
        <v>4.0000000000000001E-3</v>
      </c>
      <c r="H133" s="706">
        <f>L_CViec!AF200</f>
        <v>4.0000000000000001E-3</v>
      </c>
      <c r="I133" s="706">
        <f>L_CViec!AG200</f>
        <v>5.0000000000000001E-3</v>
      </c>
      <c r="J133" s="556">
        <f>L_CViec!AH200</f>
        <v>260091</v>
      </c>
      <c r="K133" s="707">
        <f>G133*$J133*L_CBac!$G$68*5</f>
        <v>5982.0929999999998</v>
      </c>
      <c r="L133" s="707">
        <f>H133*$J133*L_CBac!$G$68*5</f>
        <v>5982.0929999999998</v>
      </c>
      <c r="M133" s="707">
        <f>I133*$J133*L_CBac!$G$68*5</f>
        <v>7477.6162499999991</v>
      </c>
      <c r="N133" s="707">
        <f>$D133*G133*L_CBac!$J$68</f>
        <v>102.258</v>
      </c>
      <c r="O133" s="707">
        <f>$D133*H133*L_CBac!$J$68</f>
        <v>102.258</v>
      </c>
      <c r="P133" s="707">
        <f>$D133*I133*L_CBac!$J$68</f>
        <v>127.82250000000001</v>
      </c>
      <c r="Q133" s="556">
        <f>$D133*G133*L_CBac!$J$69</f>
        <v>112.30769230769232</v>
      </c>
      <c r="R133" s="556">
        <f>$D133*H133*L_CBac!$J$69</f>
        <v>112.30769230769232</v>
      </c>
      <c r="S133" s="557">
        <f>$D133*I133*L_CBac!$J$69</f>
        <v>140.38461538461539</v>
      </c>
    </row>
    <row r="134" spans="1:19" s="558" customFormat="1" ht="30">
      <c r="A134" s="553" t="str">
        <f>L_CViec!A201</f>
        <v>14</v>
      </c>
      <c r="B134" s="574" t="str">
        <f>L_CViec!B201</f>
        <v>Tạo liên kết hồ sơ quét dạng số với thửa đất trong cơ sở dữ liệu</v>
      </c>
      <c r="C134" s="555" t="str">
        <f>L_CViec!AB201</f>
        <v>Thửa</v>
      </c>
      <c r="D134" s="555">
        <f>L_CViec!AA201</f>
        <v>1</v>
      </c>
      <c r="E134" s="555" t="str">
        <f>L_CViec!AC201</f>
        <v>1KS1</v>
      </c>
      <c r="F134" s="555" t="str">
        <f>L_CViec!AD201</f>
        <v>1-3</v>
      </c>
      <c r="G134" s="555">
        <f>L_CViec!AE201</f>
        <v>0.01</v>
      </c>
      <c r="H134" s="706">
        <f>L_CViec!AF201</f>
        <v>0.01</v>
      </c>
      <c r="I134" s="706">
        <f>L_CViec!AG201</f>
        <v>1.2999999999999999E-2</v>
      </c>
      <c r="J134" s="556">
        <f>L_CViec!AH201</f>
        <v>260091</v>
      </c>
      <c r="K134" s="707">
        <f>G134*$J134*L_CBac!$G$68</f>
        <v>2991.0464999999995</v>
      </c>
      <c r="L134" s="707">
        <f>H134*$J134*L_CBac!$G$68</f>
        <v>2991.0464999999995</v>
      </c>
      <c r="M134" s="707">
        <f>I134*$J134*L_CBac!$G$68</f>
        <v>3888.3604499999997</v>
      </c>
      <c r="N134" s="707">
        <f>$D134*G134*L_CBac!$J$68</f>
        <v>255.64500000000001</v>
      </c>
      <c r="O134" s="707">
        <f>$D134*H134*L_CBac!$J$68</f>
        <v>255.64500000000001</v>
      </c>
      <c r="P134" s="707">
        <f>$D134*I134*L_CBac!$J$68</f>
        <v>332.33850000000001</v>
      </c>
      <c r="Q134" s="556">
        <f>$D134*G134*L_CBac!$J$69</f>
        <v>280.76923076923077</v>
      </c>
      <c r="R134" s="556">
        <f>$D134*H134*L_CBac!$J$69</f>
        <v>280.76923076923077</v>
      </c>
      <c r="S134" s="557">
        <f>$D134*I134*L_CBac!$J$69</f>
        <v>365</v>
      </c>
    </row>
    <row r="135" spans="1:19" s="552" customFormat="1" ht="45">
      <c r="A135" s="546" t="str">
        <f>L_CViec!A202</f>
        <v>15</v>
      </c>
      <c r="B135" s="559" t="str">
        <f>L_CViec!B202</f>
        <v>Cập nhật bổ sung việc cấp GCN vào hồ sơ địa chính, cơ sở dữ liệu đất đai và gửi nội dung cập nhật hồ sơ địa chính về xã, phường</v>
      </c>
      <c r="C135" s="548" t="str">
        <f>L_CViec!AB202</f>
        <v>Hồ sơ</v>
      </c>
      <c r="D135" s="548">
        <f>L_CViec!AA202</f>
        <v>1</v>
      </c>
      <c r="E135" s="548" t="str">
        <f>L_CViec!AC202</f>
        <v>1KS2</v>
      </c>
      <c r="F135" s="548" t="str">
        <f>L_CViec!AD202</f>
        <v>1-3</v>
      </c>
      <c r="G135" s="548">
        <f>L_CViec!AE202</f>
        <v>0.2</v>
      </c>
      <c r="H135" s="704">
        <f>L_CViec!AF202</f>
        <v>0.2</v>
      </c>
      <c r="I135" s="704">
        <f>L_CViec!AG202</f>
        <v>0.26</v>
      </c>
      <c r="J135" s="550">
        <f>L_CViec!AH202</f>
        <v>296770.5</v>
      </c>
      <c r="K135" s="705">
        <f>G135*$J135*L_CBac!$G$68</f>
        <v>68257.214999999997</v>
      </c>
      <c r="L135" s="705">
        <f>H135*$J135*L_CBac!$G$68</f>
        <v>68257.214999999997</v>
      </c>
      <c r="M135" s="705">
        <f>I135*$J135*L_CBac!$G$68</f>
        <v>88734.379499999995</v>
      </c>
      <c r="N135" s="705">
        <f>$D135*G135*L_CBac!$J$68</f>
        <v>5112.9000000000005</v>
      </c>
      <c r="O135" s="705">
        <f>$D135*H135*L_CBac!$J$68</f>
        <v>5112.9000000000005</v>
      </c>
      <c r="P135" s="705">
        <f>$D135*I135*L_CBac!$J$68</f>
        <v>6646.77</v>
      </c>
      <c r="Q135" s="550">
        <f>$D135*G135*L_CBac!$J$69</f>
        <v>5615.3846153846162</v>
      </c>
      <c r="R135" s="550">
        <f>$D135*H135*L_CBac!$J$69</f>
        <v>5615.3846153846162</v>
      </c>
      <c r="S135" s="551">
        <f>$D135*I135*L_CBac!$J$69</f>
        <v>7300.0000000000009</v>
      </c>
    </row>
    <row r="136" spans="1:19" s="552" customFormat="1" ht="60">
      <c r="A136" s="546" t="str">
        <f>L_CViec!A203</f>
        <v>16</v>
      </c>
      <c r="B136" s="559" t="str">
        <f>L_CViec!B203</f>
        <v>Chuyển Giấy chứng nhận đến Bộ phận một cửa để trao cho người sử dụng đất hoặc chuyển Giấy chứng nhận cho người sử dụng đất thông qua dịch vụ bưu chính công ích</v>
      </c>
      <c r="C136" s="548" t="str">
        <f>L_CViec!AB203</f>
        <v>Hồ sơ</v>
      </c>
      <c r="D136" s="548">
        <f>L_CViec!AA203</f>
        <v>1</v>
      </c>
      <c r="E136" s="548" t="str">
        <f>L_CViec!AC203</f>
        <v>1KS2</v>
      </c>
      <c r="F136" s="548" t="str">
        <f>L_CViec!AD203</f>
        <v>1-3</v>
      </c>
      <c r="G136" s="548">
        <f>L_CViec!AE203</f>
        <v>0.2</v>
      </c>
      <c r="H136" s="704">
        <f>L_CViec!AF203</f>
        <v>0.2</v>
      </c>
      <c r="I136" s="704">
        <f>L_CViec!AG203</f>
        <v>0.26</v>
      </c>
      <c r="J136" s="550">
        <f>L_CViec!AH203</f>
        <v>296770.5</v>
      </c>
      <c r="K136" s="705">
        <f>G136*$J136*L_CBac!$G$68</f>
        <v>68257.214999999997</v>
      </c>
      <c r="L136" s="705">
        <f>H136*$J136*L_CBac!$G$68</f>
        <v>68257.214999999997</v>
      </c>
      <c r="M136" s="705">
        <f>I136*$J136*L_CBac!$G$68</f>
        <v>88734.379499999995</v>
      </c>
      <c r="N136" s="705">
        <f>$D136*G136*L_CBac!$J$68</f>
        <v>5112.9000000000005</v>
      </c>
      <c r="O136" s="705">
        <f>$D136*H136*L_CBac!$J$68</f>
        <v>5112.9000000000005</v>
      </c>
      <c r="P136" s="705">
        <f>$D136*I136*L_CBac!$J$68</f>
        <v>6646.77</v>
      </c>
      <c r="Q136" s="550">
        <f>$D136*G136*L_CBac!$J$69</f>
        <v>5615.3846153846162</v>
      </c>
      <c r="R136" s="550">
        <f>$D136*H136*L_CBac!$J$69</f>
        <v>5615.3846153846162</v>
      </c>
      <c r="S136" s="551">
        <f>$D136*I136*L_CBac!$J$69</f>
        <v>7300.0000000000009</v>
      </c>
    </row>
    <row r="137" spans="1:19" s="534" customFormat="1" ht="33" customHeight="1">
      <c r="A137" s="535" t="e">
        <f>L_CViec!#REF!</f>
        <v>#REF!</v>
      </c>
      <c r="B137" s="1770" t="e">
        <f>L_CViec!#REF!</f>
        <v>#REF!</v>
      </c>
      <c r="C137" s="1771" t="e">
        <f>L_CViec!#REF!</f>
        <v>#REF!</v>
      </c>
      <c r="D137" s="1772" t="e">
        <f>L_CViec!#REF!</f>
        <v>#REF!</v>
      </c>
      <c r="E137" s="584" t="e">
        <f>L_CViec!#REF!</f>
        <v>#REF!</v>
      </c>
      <c r="F137" s="584" t="e">
        <f>L_CViec!#REF!</f>
        <v>#REF!</v>
      </c>
      <c r="G137" s="584" t="e">
        <f>L_CViec!#REF!</f>
        <v>#REF!</v>
      </c>
      <c r="H137" s="537" t="e">
        <f>L_CViec!#REF!</f>
        <v>#REF!</v>
      </c>
      <c r="I137" s="537" t="e">
        <f>L_CViec!#REF!</f>
        <v>#REF!</v>
      </c>
      <c r="J137" s="537" t="e">
        <f>L_CViec!#REF!</f>
        <v>#REF!</v>
      </c>
      <c r="K137" s="708" t="e">
        <f>K138</f>
        <v>#REF!</v>
      </c>
      <c r="L137" s="708" t="e">
        <f t="shared" ref="L137:S137" si="16">L138</f>
        <v>#REF!</v>
      </c>
      <c r="M137" s="708" t="e">
        <f t="shared" si="16"/>
        <v>#REF!</v>
      </c>
      <c r="N137" s="708" t="e">
        <f t="shared" si="16"/>
        <v>#REF!</v>
      </c>
      <c r="O137" s="708" t="e">
        <f t="shared" si="16"/>
        <v>#REF!</v>
      </c>
      <c r="P137" s="708" t="e">
        <f t="shared" si="16"/>
        <v>#REF!</v>
      </c>
      <c r="Q137" s="537" t="e">
        <f t="shared" si="16"/>
        <v>#REF!</v>
      </c>
      <c r="R137" s="537" t="e">
        <f t="shared" si="16"/>
        <v>#REF!</v>
      </c>
      <c r="S137" s="538" t="e">
        <f t="shared" si="16"/>
        <v>#REF!</v>
      </c>
    </row>
    <row r="138" spans="1:19" s="552" customFormat="1" ht="15">
      <c r="A138" s="546" t="e">
        <f>L_CViec!#REF!</f>
        <v>#REF!</v>
      </c>
      <c r="B138" s="559" t="e">
        <f>L_CViec!#REF!</f>
        <v>#REF!</v>
      </c>
      <c r="C138" s="548" t="e">
        <f>L_CViec!#REF!</f>
        <v>#REF!</v>
      </c>
      <c r="D138" s="548" t="e">
        <f>L_CViec!#REF!</f>
        <v>#REF!</v>
      </c>
      <c r="E138" s="548" t="e">
        <f>L_CViec!#REF!</f>
        <v>#REF!</v>
      </c>
      <c r="F138" s="548" t="e">
        <f>L_CViec!#REF!</f>
        <v>#REF!</v>
      </c>
      <c r="G138" s="548" t="e">
        <f>L_CViec!#REF!</f>
        <v>#REF!</v>
      </c>
      <c r="H138" s="704" t="e">
        <f>L_CViec!#REF!</f>
        <v>#REF!</v>
      </c>
      <c r="I138" s="704" t="e">
        <f>L_CViec!#REF!</f>
        <v>#REF!</v>
      </c>
      <c r="J138" s="550" t="e">
        <f>L_CViec!#REF!</f>
        <v>#REF!</v>
      </c>
      <c r="K138" s="705" t="e">
        <f>G138*$J138*L_CBac!$G$68</f>
        <v>#REF!</v>
      </c>
      <c r="L138" s="705" t="e">
        <f>H138*$J138*L_CBac!$G$68</f>
        <v>#REF!</v>
      </c>
      <c r="M138" s="705" t="e">
        <f>I138*$J138*L_CBac!$G$68</f>
        <v>#REF!</v>
      </c>
      <c r="N138" s="705" t="e">
        <f>$D138*G138*L_CBac!$J$68</f>
        <v>#REF!</v>
      </c>
      <c r="O138" s="705" t="e">
        <f>$D138*H138*L_CBac!$J$68</f>
        <v>#REF!</v>
      </c>
      <c r="P138" s="705" t="e">
        <f>$D138*I138*L_CBac!$J$68</f>
        <v>#REF!</v>
      </c>
      <c r="Q138" s="550" t="e">
        <f>$D138*G138*L_CBac!$J$69</f>
        <v>#REF!</v>
      </c>
      <c r="R138" s="550" t="e">
        <f>$D138*H138*L_CBac!$J$69</f>
        <v>#REF!</v>
      </c>
      <c r="S138" s="551" t="e">
        <f>$D138*I138*L_CBac!$J$69</f>
        <v>#REF!</v>
      </c>
    </row>
    <row r="139" spans="1:19" s="534" customFormat="1" ht="30" customHeight="1">
      <c r="A139" s="535" t="e">
        <f>L_CViec!#REF!</f>
        <v>#REF!</v>
      </c>
      <c r="B139" s="1770" t="e">
        <f>L_CViec!#REF!</f>
        <v>#REF!</v>
      </c>
      <c r="C139" s="1771" t="e">
        <f>L_CViec!#REF!</f>
        <v>#REF!</v>
      </c>
      <c r="D139" s="1772" t="e">
        <f>L_CViec!#REF!</f>
        <v>#REF!</v>
      </c>
      <c r="E139" s="584" t="e">
        <f>L_CViec!#REF!</f>
        <v>#REF!</v>
      </c>
      <c r="F139" s="584" t="e">
        <f>L_CViec!#REF!</f>
        <v>#REF!</v>
      </c>
      <c r="G139" s="584" t="e">
        <f>L_CViec!#REF!</f>
        <v>#REF!</v>
      </c>
      <c r="H139" s="537" t="e">
        <f>L_CViec!#REF!</f>
        <v>#REF!</v>
      </c>
      <c r="I139" s="537" t="e">
        <f>L_CViec!#REF!</f>
        <v>#REF!</v>
      </c>
      <c r="J139" s="537" t="e">
        <f>L_CViec!#REF!</f>
        <v>#REF!</v>
      </c>
      <c r="K139" s="708" t="e">
        <f>K140</f>
        <v>#REF!</v>
      </c>
      <c r="L139" s="708" t="e">
        <f t="shared" ref="L139:S139" si="17">L140</f>
        <v>#REF!</v>
      </c>
      <c r="M139" s="708" t="e">
        <f t="shared" si="17"/>
        <v>#REF!</v>
      </c>
      <c r="N139" s="708" t="e">
        <f t="shared" si="17"/>
        <v>#REF!</v>
      </c>
      <c r="O139" s="708" t="e">
        <f t="shared" si="17"/>
        <v>#REF!</v>
      </c>
      <c r="P139" s="708" t="e">
        <f t="shared" si="17"/>
        <v>#REF!</v>
      </c>
      <c r="Q139" s="537" t="e">
        <f t="shared" si="17"/>
        <v>#REF!</v>
      </c>
      <c r="R139" s="537" t="e">
        <f t="shared" si="17"/>
        <v>#REF!</v>
      </c>
      <c r="S139" s="538" t="e">
        <f t="shared" si="17"/>
        <v>#REF!</v>
      </c>
    </row>
    <row r="140" spans="1:19" s="552" customFormat="1" ht="15">
      <c r="A140" s="546" t="e">
        <f>L_CViec!#REF!</f>
        <v>#REF!</v>
      </c>
      <c r="B140" s="559" t="e">
        <f>L_CViec!#REF!</f>
        <v>#REF!</v>
      </c>
      <c r="C140" s="548" t="e">
        <f>L_CViec!#REF!</f>
        <v>#REF!</v>
      </c>
      <c r="D140" s="548" t="e">
        <f>L_CViec!#REF!</f>
        <v>#REF!</v>
      </c>
      <c r="E140" s="548" t="e">
        <f>L_CViec!#REF!</f>
        <v>#REF!</v>
      </c>
      <c r="F140" s="548" t="e">
        <f>L_CViec!#REF!</f>
        <v>#REF!</v>
      </c>
      <c r="G140" s="548" t="e">
        <f>L_CViec!#REF!</f>
        <v>#REF!</v>
      </c>
      <c r="H140" s="704" t="e">
        <f>L_CViec!#REF!</f>
        <v>#REF!</v>
      </c>
      <c r="I140" s="704" t="e">
        <f>L_CViec!#REF!</f>
        <v>#REF!</v>
      </c>
      <c r="J140" s="550" t="e">
        <f>L_CViec!#REF!</f>
        <v>#REF!</v>
      </c>
      <c r="K140" s="705" t="e">
        <f>G140*$J140*L_CBac!$G$68</f>
        <v>#REF!</v>
      </c>
      <c r="L140" s="705" t="e">
        <f>H140*$J140*L_CBac!$G$68</f>
        <v>#REF!</v>
      </c>
      <c r="M140" s="705" t="e">
        <f>I140*$J140*L_CBac!$G$68</f>
        <v>#REF!</v>
      </c>
      <c r="N140" s="705" t="e">
        <f>$D140*G140*L_CBac!$J$68</f>
        <v>#REF!</v>
      </c>
      <c r="O140" s="705" t="e">
        <f>$D140*H140*L_CBac!$J$68</f>
        <v>#REF!</v>
      </c>
      <c r="P140" s="705" t="e">
        <f>$D140*I140*L_CBac!$J$68</f>
        <v>#REF!</v>
      </c>
      <c r="Q140" s="550" t="e">
        <f>$D140*G140*L_CBac!$J$69</f>
        <v>#REF!</v>
      </c>
      <c r="R140" s="550" t="e">
        <f>$D140*H140*L_CBac!$J$69</f>
        <v>#REF!</v>
      </c>
      <c r="S140" s="551" t="e">
        <f>$D140*I140*L_CBac!$J$69</f>
        <v>#REF!</v>
      </c>
    </row>
    <row r="141" spans="1:19" s="552" customFormat="1" ht="20.100000000000001" customHeight="1">
      <c r="A141" s="650" t="str">
        <f>L_CViec!A204</f>
        <v>III.3</v>
      </c>
      <c r="B141" s="629" t="str">
        <f>L_CViec!B204</f>
        <v>GHI CHÚ</v>
      </c>
      <c r="C141" s="629">
        <f>L_CViec!AB204</f>
        <v>0</v>
      </c>
      <c r="D141" s="629">
        <f>L_CViec!AA204</f>
        <v>0</v>
      </c>
      <c r="E141" s="629">
        <f>L_CViec!AC204</f>
        <v>0</v>
      </c>
      <c r="F141" s="629">
        <f>L_CViec!AD204</f>
        <v>0</v>
      </c>
      <c r="G141" s="629">
        <f>L_CViec!AE204</f>
        <v>0</v>
      </c>
      <c r="H141" s="630">
        <f>L_CViec!AF204</f>
        <v>0</v>
      </c>
      <c r="I141" s="674"/>
      <c r="J141" s="674"/>
      <c r="K141" s="724"/>
      <c r="L141" s="724"/>
      <c r="M141" s="724"/>
      <c r="N141" s="724"/>
      <c r="O141" s="724"/>
      <c r="P141" s="724"/>
      <c r="Q141" s="674"/>
      <c r="R141" s="674"/>
      <c r="S141" s="675"/>
    </row>
    <row r="142" spans="1:19" s="552" customFormat="1" ht="33" customHeight="1">
      <c r="A142" s="546" t="str">
        <f>L_CViec!A205</f>
        <v>1</v>
      </c>
      <c r="B142" s="1813" t="str">
        <f>L_CViec!B205</f>
        <v>(1) Cột “ĐM Đất” áp dụng cho trường hợp đăng ký, cấp GCN đối với đất; cột “ĐM Đất + TS” áp dụng đối với trường hợp đăng ký, cấp GCN đối với cả đất và tài sản gắn liền với đất</v>
      </c>
      <c r="C142" s="1813"/>
      <c r="D142" s="1813"/>
      <c r="E142" s="1813"/>
      <c r="F142" s="1813"/>
      <c r="G142" s="1813"/>
      <c r="H142" s="1813"/>
      <c r="I142" s="1813"/>
      <c r="J142" s="1813"/>
      <c r="K142" s="1813"/>
      <c r="L142" s="1813"/>
      <c r="M142" s="1813"/>
      <c r="N142" s="550"/>
      <c r="O142" s="550"/>
      <c r="P142" s="550"/>
      <c r="Q142" s="550"/>
      <c r="R142" s="550"/>
      <c r="S142" s="551"/>
    </row>
    <row r="143" spans="1:19" s="552" customFormat="1" ht="30" customHeight="1">
      <c r="A143" s="546" t="e">
        <f>L_CViec!#REF!</f>
        <v>#REF!</v>
      </c>
      <c r="B143" s="1813" t="e">
        <f>L_CViec!#REF!</f>
        <v>#REF!</v>
      </c>
      <c r="C143" s="1813"/>
      <c r="D143" s="1813"/>
      <c r="E143" s="1813"/>
      <c r="F143" s="1813"/>
      <c r="G143" s="1813"/>
      <c r="H143" s="1813"/>
      <c r="I143" s="1813"/>
      <c r="J143" s="1813"/>
      <c r="K143" s="1813"/>
      <c r="L143" s="1813"/>
      <c r="M143" s="1813"/>
      <c r="N143" s="550"/>
      <c r="O143" s="550"/>
      <c r="P143" s="550"/>
      <c r="Q143" s="550"/>
      <c r="R143" s="550"/>
      <c r="S143" s="551"/>
    </row>
    <row r="144" spans="1:19" s="552" customFormat="1" ht="30" customHeight="1">
      <c r="A144" s="546" t="str">
        <f>L_CViec!A206</f>
        <v>2</v>
      </c>
      <c r="B144" s="1813" t="str">
        <f>L_CViec!B206</f>
        <v>(2) Trường hợp đăng ký đất đai nhưng không có nhu cầu hoặc không đủ điều kiện cấp GCN thì được tính định mức đối với Mục 1, 2, 3, 4, 5, 6, 7, 8 và 9 nội dung thực hiện tại địa bàn cấp xã,phường,đặc khu; Mục 15 và 16 các nội dung thực hiện tại địa bàn tỉnh.</v>
      </c>
      <c r="C144" s="1813"/>
      <c r="D144" s="1813"/>
      <c r="E144" s="1813"/>
      <c r="F144" s="1813"/>
      <c r="G144" s="1813"/>
      <c r="H144" s="1813"/>
      <c r="I144" s="1813"/>
      <c r="J144" s="1813"/>
      <c r="K144" s="1813"/>
      <c r="L144" s="1813"/>
      <c r="M144" s="1813"/>
      <c r="N144" s="550"/>
      <c r="O144" s="550"/>
      <c r="P144" s="550"/>
      <c r="Q144" s="550"/>
      <c r="R144" s="550"/>
      <c r="S144" s="551"/>
    </row>
    <row r="145" spans="1:19" s="552" customFormat="1" ht="30.75" customHeight="1" thickBot="1">
      <c r="A145" s="593" t="str">
        <f>L_CViec!A207</f>
        <v>3</v>
      </c>
      <c r="B145" s="1814" t="str">
        <f>L_CViec!B207</f>
        <v>(3) Trường hợp đăng ký đối với đất được giao để quản lý thì được tính định mức đối với Mục 1, 2, 3, 4 và 5 nội dung thực hiện tại địa bàn cấp xã; Mục 15 và 16 các nội dung thực hiện tại địa bàn tỉnh.</v>
      </c>
      <c r="C145" s="1814"/>
      <c r="D145" s="1814"/>
      <c r="E145" s="1814"/>
      <c r="F145" s="1814"/>
      <c r="G145" s="1814"/>
      <c r="H145" s="1814"/>
      <c r="I145" s="1814"/>
      <c r="J145" s="1814"/>
      <c r="K145" s="1814"/>
      <c r="L145" s="1814"/>
      <c r="M145" s="1814"/>
      <c r="N145" s="720"/>
      <c r="O145" s="720"/>
      <c r="P145" s="720"/>
      <c r="Q145" s="720"/>
      <c r="R145" s="720"/>
      <c r="S145" s="721"/>
    </row>
    <row r="146" spans="1:19" s="534" customFormat="1" ht="45" customHeight="1">
      <c r="A146" s="695" t="str">
        <f>L_CViec!A276</f>
        <v>V</v>
      </c>
      <c r="B146" s="1773" t="str">
        <f>L_CViec!B276</f>
        <v>Đăng ký, cấp đổi, cấp lại Giấy chứng nhận riêng lẻ đối với hộ gia đình, cá nhân, cộng đồng dân cư, người gốc Việt Nam định cư ở nước ngoài.</v>
      </c>
      <c r="C146" s="1774"/>
      <c r="D146" s="1774"/>
      <c r="E146" s="696" t="s">
        <v>344</v>
      </c>
      <c r="F146" s="697"/>
      <c r="G146" s="697"/>
      <c r="H146" s="697"/>
      <c r="I146" s="697"/>
      <c r="J146" s="698"/>
      <c r="K146" s="699"/>
      <c r="L146" s="699"/>
      <c r="M146" s="699"/>
      <c r="N146" s="699"/>
      <c r="O146" s="699"/>
      <c r="P146" s="699"/>
      <c r="Q146" s="699"/>
      <c r="R146" s="699"/>
      <c r="S146" s="700"/>
    </row>
    <row r="147" spans="1:19" s="552" customFormat="1" ht="40.5" customHeight="1">
      <c r="A147" s="650" t="str">
        <f>L_CViec!A277</f>
        <v>V.1</v>
      </c>
      <c r="B147" s="1750" t="str">
        <f>L_CViec!B277</f>
        <v>CÁC NỘI DUNG THỰC HIỆN TẠI ĐỊA BÀN CẤP XÃ,PHƯỜNG,ĐẶC KHU</v>
      </c>
      <c r="C147" s="1751"/>
      <c r="D147" s="1752"/>
      <c r="E147" s="629">
        <f>L_CViec!AC277</f>
        <v>0</v>
      </c>
      <c r="F147" s="629">
        <f>L_CViec!AD277</f>
        <v>0</v>
      </c>
      <c r="G147" s="628"/>
      <c r="H147" s="630"/>
      <c r="I147" s="630"/>
      <c r="J147" s="630">
        <f>L_CViec!AH277</f>
        <v>0</v>
      </c>
      <c r="K147" s="703">
        <f>SUM(K149,K151,K152,K153,K154,K156,K158,K160,K162,K163,K164,K170,K171)</f>
        <v>594520.34264999989</v>
      </c>
      <c r="L147" s="703">
        <f t="shared" ref="L147:S147" si="18">SUM(L149,L151,L152,L153,L154,L156,L158,L160,L162,L163,L164,L170,L171)</f>
        <v>520702.84890000004</v>
      </c>
      <c r="M147" s="703">
        <f t="shared" si="18"/>
        <v>757881.33232499997</v>
      </c>
      <c r="N147" s="703">
        <f t="shared" si="18"/>
        <v>41619.006000000001</v>
      </c>
      <c r="O147" s="703">
        <f t="shared" si="18"/>
        <v>36557.235000000001</v>
      </c>
      <c r="P147" s="703">
        <f t="shared" si="18"/>
        <v>53097.466499999995</v>
      </c>
      <c r="Q147" s="703">
        <f t="shared" si="18"/>
        <v>45709.23076923078</v>
      </c>
      <c r="R147" s="703">
        <f t="shared" si="18"/>
        <v>40150.000000000007</v>
      </c>
      <c r="S147" s="538">
        <f t="shared" si="18"/>
        <v>58315.769230769234</v>
      </c>
    </row>
    <row r="148" spans="1:19" s="552" customFormat="1" ht="33.75" customHeight="1">
      <c r="A148" s="546" t="str">
        <f>L_CViec!A278</f>
        <v>1</v>
      </c>
      <c r="B148" s="559" t="str">
        <f>L_CViec!B278</f>
        <v>Hướng dẫn lập hồ sơ đề nghị đăng ký, cấp đổi, cấp lại GCN</v>
      </c>
      <c r="C148" s="548">
        <f>L_CViec!AB278</f>
        <v>0</v>
      </c>
      <c r="D148" s="548"/>
      <c r="E148" s="548">
        <f>L_CViec!AC278</f>
        <v>0</v>
      </c>
      <c r="F148" s="548">
        <f>L_CViec!AD278</f>
        <v>0</v>
      </c>
      <c r="G148" s="548">
        <f>L_CViec!AE278</f>
        <v>0</v>
      </c>
      <c r="H148" s="704">
        <f>L_CViec!AF278</f>
        <v>0</v>
      </c>
      <c r="I148" s="704">
        <f>L_CViec!AG278</f>
        <v>0</v>
      </c>
      <c r="J148" s="550">
        <f>L_CViec!AH278</f>
        <v>0</v>
      </c>
      <c r="K148" s="705"/>
      <c r="L148" s="705"/>
      <c r="M148" s="705"/>
      <c r="N148" s="705"/>
      <c r="O148" s="705"/>
      <c r="P148" s="705"/>
      <c r="Q148" s="705"/>
      <c r="R148" s="705"/>
      <c r="S148" s="551"/>
    </row>
    <row r="149" spans="1:19" s="558" customFormat="1" ht="21.95" customHeight="1">
      <c r="A149" s="553" t="str">
        <f>L_CViec!A279</f>
        <v>1.1</v>
      </c>
      <c r="B149" s="574" t="str">
        <f>L_CViec!B279</f>
        <v>Theo hình thức trực tiếp</v>
      </c>
      <c r="C149" s="555" t="str">
        <f>L_CViec!AB279</f>
        <v>Hồ sơ</v>
      </c>
      <c r="D149" s="555">
        <f>L_CViec!AA279</f>
        <v>1</v>
      </c>
      <c r="E149" s="555" t="str">
        <f>L_CViec!AC279</f>
        <v>1KS2</v>
      </c>
      <c r="F149" s="555" t="str">
        <f>L_CViec!AD279</f>
        <v>1-3</v>
      </c>
      <c r="G149" s="555">
        <f>L_CViec!AE279</f>
        <v>0.15</v>
      </c>
      <c r="H149" s="706">
        <f>L_CViec!AF279</f>
        <v>0.15</v>
      </c>
      <c r="I149" s="706">
        <f>L_CViec!AG279</f>
        <v>0.19500000000000001</v>
      </c>
      <c r="J149" s="556">
        <f>L_CViec!AH279</f>
        <v>296770.5</v>
      </c>
      <c r="K149" s="707">
        <f>G149*$J149*L_CBac!$G$68</f>
        <v>51192.91124999999</v>
      </c>
      <c r="L149" s="707">
        <f>H149*$J149*L_CBac!$G$68</f>
        <v>51192.91124999999</v>
      </c>
      <c r="M149" s="707">
        <f>I149*$J149*L_CBac!$G$68</f>
        <v>66550.784625</v>
      </c>
      <c r="N149" s="707">
        <f>$D149*G149*L_CBac!$J$68</f>
        <v>3834.6749999999997</v>
      </c>
      <c r="O149" s="707">
        <f>$D149*H149*L_CBac!$J$68</f>
        <v>3834.6749999999997</v>
      </c>
      <c r="P149" s="707">
        <f>$D149*I149*L_CBac!$J$68</f>
        <v>4985.0775000000003</v>
      </c>
      <c r="Q149" s="707">
        <f>$D149*G149*L_CBac!$J$69</f>
        <v>4211.5384615384619</v>
      </c>
      <c r="R149" s="707">
        <f>$D149*H149*L_CBac!$J$69</f>
        <v>4211.5384615384619</v>
      </c>
      <c r="S149" s="557">
        <f>$D149*I149*L_CBac!$J$69</f>
        <v>5475</v>
      </c>
    </row>
    <row r="150" spans="1:19" s="558" customFormat="1" ht="21.95" customHeight="1">
      <c r="A150" s="553" t="str">
        <f>L_CViec!A280</f>
        <v>1.2</v>
      </c>
      <c r="B150" s="574" t="str">
        <f>L_CViec!B280</f>
        <v>Theo hình thức trực tuyến</v>
      </c>
      <c r="C150" s="555" t="str">
        <f>L_CViec!AB280</f>
        <v>Hồ sơ</v>
      </c>
      <c r="D150" s="555">
        <f>L_CViec!AA280</f>
        <v>1</v>
      </c>
      <c r="E150" s="555" t="str">
        <f>L_CViec!AC280</f>
        <v>1KS2</v>
      </c>
      <c r="F150" s="555" t="str">
        <f>L_CViec!AD280</f>
        <v>1-3</v>
      </c>
      <c r="G150" s="555">
        <f>L_CViec!AE280</f>
        <v>0.1</v>
      </c>
      <c r="H150" s="706">
        <f>L_CViec!AF280</f>
        <v>0.1</v>
      </c>
      <c r="I150" s="706">
        <f>L_CViec!AG280</f>
        <v>0.13</v>
      </c>
      <c r="J150" s="556">
        <f>L_CViec!AH280</f>
        <v>296770.5</v>
      </c>
      <c r="K150" s="707">
        <f>G150*$J150*L_CBac!$G$68</f>
        <v>34128.607499999998</v>
      </c>
      <c r="L150" s="707">
        <f>H150*$J150*L_CBac!$G$68</f>
        <v>34128.607499999998</v>
      </c>
      <c r="M150" s="707">
        <f>I150*$J150*L_CBac!$G$68</f>
        <v>44367.189749999998</v>
      </c>
      <c r="N150" s="707">
        <f>$D150*G150*L_CBac!$J$68</f>
        <v>2556.4500000000003</v>
      </c>
      <c r="O150" s="707">
        <f>$D150*H150*L_CBac!$J$68</f>
        <v>2556.4500000000003</v>
      </c>
      <c r="P150" s="707">
        <f>$D150*I150*L_CBac!$J$68</f>
        <v>3323.3850000000002</v>
      </c>
      <c r="Q150" s="707">
        <f>$D150*G150*L_CBac!$J$69</f>
        <v>2807.6923076923081</v>
      </c>
      <c r="R150" s="707">
        <f>$D150*H150*L_CBac!$J$69</f>
        <v>2807.6923076923081</v>
      </c>
      <c r="S150" s="557">
        <f>$D150*I150*L_CBac!$J$69</f>
        <v>3650.0000000000005</v>
      </c>
    </row>
    <row r="151" spans="1:19" s="552" customFormat="1" ht="63" customHeight="1">
      <c r="A151" s="546" t="str">
        <f>L_CViec!A281</f>
        <v>2</v>
      </c>
      <c r="B151" s="559" t="str">
        <f>L_CViec!B281</f>
        <v>Nhận, kiểm tra tính đầy đủ của thành phần hồ sơ và cấp Giấy tiếp nhận hồ sơ và hẹn trả kết quả hoặc trả lại hồ sơ, vào sổ theo dõi nhận, trả hồ sơ (theo hình thức trực tiếp, trực tuyến)</v>
      </c>
      <c r="C151" s="548" t="str">
        <f>L_CViec!AB281</f>
        <v>Hồ sơ</v>
      </c>
      <c r="D151" s="548">
        <f>L_CViec!AA281</f>
        <v>1</v>
      </c>
      <c r="E151" s="548" t="str">
        <f>L_CViec!AC281</f>
        <v>1KS2</v>
      </c>
      <c r="F151" s="548" t="str">
        <f>L_CViec!AD281</f>
        <v>1-3</v>
      </c>
      <c r="G151" s="548">
        <f>L_CViec!AE281</f>
        <v>0.2</v>
      </c>
      <c r="H151" s="704">
        <f>L_CViec!AF281</f>
        <v>0.2</v>
      </c>
      <c r="I151" s="704">
        <f>L_CViec!AG281</f>
        <v>0.26</v>
      </c>
      <c r="J151" s="550">
        <f>L_CViec!AH281</f>
        <v>296770.5</v>
      </c>
      <c r="K151" s="705">
        <f>G151*$J151*L_CBac!$G$68</f>
        <v>68257.214999999997</v>
      </c>
      <c r="L151" s="705">
        <f>H151*$J151*L_CBac!$G$68</f>
        <v>68257.214999999997</v>
      </c>
      <c r="M151" s="705">
        <f>I151*$J151*L_CBac!$G$68</f>
        <v>88734.379499999995</v>
      </c>
      <c r="N151" s="705">
        <f>$D151*G151*L_CBac!$J$68</f>
        <v>5112.9000000000005</v>
      </c>
      <c r="O151" s="705">
        <f>$D151*H151*L_CBac!$J$68</f>
        <v>5112.9000000000005</v>
      </c>
      <c r="P151" s="705">
        <f>$D151*I151*L_CBac!$J$68</f>
        <v>6646.77</v>
      </c>
      <c r="Q151" s="705">
        <f>$D151*G151*L_CBac!$J$69</f>
        <v>5615.3846153846162</v>
      </c>
      <c r="R151" s="705">
        <f>$D151*H151*L_CBac!$J$69</f>
        <v>5615.3846153846162</v>
      </c>
      <c r="S151" s="551">
        <f>$D151*I151*L_CBac!$J$69</f>
        <v>7300.0000000000009</v>
      </c>
    </row>
    <row r="152" spans="1:19" s="552" customFormat="1" ht="49.5" customHeight="1">
      <c r="A152" s="546" t="str">
        <f>L_CViec!A282</f>
        <v>3</v>
      </c>
      <c r="B152" s="559" t="str">
        <f>L_CViec!B282</f>
        <v>Tạo tệp (File) dữ liệu hồ sơ số và nhập thông tin do người sử dụng đất kê khai, đăng ký</v>
      </c>
      <c r="C152" s="548" t="str">
        <f>L_CViec!AB282</f>
        <v>Thửa</v>
      </c>
      <c r="D152" s="548">
        <f>L_CViec!AA282</f>
        <v>1</v>
      </c>
      <c r="E152" s="548" t="str">
        <f>L_CViec!AC282</f>
        <v>1KS3</v>
      </c>
      <c r="F152" s="548" t="str">
        <f>L_CViec!AD282</f>
        <v>1-3</v>
      </c>
      <c r="G152" s="548">
        <f>L_CViec!AE282</f>
        <v>0.107</v>
      </c>
      <c r="H152" s="704">
        <f>L_CViec!AF282</f>
        <v>3.3000000000000002E-2</v>
      </c>
      <c r="I152" s="704">
        <f>L_CViec!AG282</f>
        <v>0.16700000000000001</v>
      </c>
      <c r="J152" s="550">
        <f>L_CViec!AH282</f>
        <v>333450</v>
      </c>
      <c r="K152" s="705">
        <f>G152*$J152*L_CBac!$G$68</f>
        <v>41031.022499999999</v>
      </c>
      <c r="L152" s="705">
        <f>H152*$J152*L_CBac!$G$68</f>
        <v>12654.4275</v>
      </c>
      <c r="M152" s="705">
        <f>I152*$J152*L_CBac!$G$68</f>
        <v>64039.072499999995</v>
      </c>
      <c r="N152" s="705">
        <f>$D152*G152*L_CBac!$J$68</f>
        <v>2735.4014999999999</v>
      </c>
      <c r="O152" s="705">
        <f>$D152*H152*L_CBac!$J$68</f>
        <v>843.62850000000003</v>
      </c>
      <c r="P152" s="705">
        <f>$D152*I152*L_CBac!$J$68</f>
        <v>4269.2714999999998</v>
      </c>
      <c r="Q152" s="705">
        <f>$D152*G152*L_CBac!$J$69</f>
        <v>3004.2307692307695</v>
      </c>
      <c r="R152" s="705">
        <f>$D152*H152*L_CBac!$J$69</f>
        <v>926.53846153846166</v>
      </c>
      <c r="S152" s="551">
        <f>$D152*I152*L_CBac!$J$69</f>
        <v>4688.8461538461543</v>
      </c>
    </row>
    <row r="153" spans="1:19" s="552" customFormat="1" ht="65.25" customHeight="1">
      <c r="A153" s="546" t="str">
        <f>L_CViec!A290</f>
        <v>7</v>
      </c>
      <c r="B153" s="559" t="str">
        <f>L_CViec!B290</f>
        <v>Kiểm tra hồ sơ đề nghị đăng ký, cấp đổi, cấp lại Giấy chứng nhận</v>
      </c>
      <c r="C153" s="548">
        <f>L_CViec!AB290</f>
        <v>0</v>
      </c>
      <c r="D153" s="548">
        <f>L_CViec!AA290</f>
        <v>0</v>
      </c>
      <c r="E153" s="548">
        <f>L_CViec!AC290</f>
        <v>0</v>
      </c>
      <c r="F153" s="548">
        <f>L_CViec!AD290</f>
        <v>0</v>
      </c>
      <c r="G153" s="548">
        <f>L_CViec!AE290</f>
        <v>0</v>
      </c>
      <c r="H153" s="704">
        <f>L_CViec!AF290</f>
        <v>0</v>
      </c>
      <c r="I153" s="704">
        <f>L_CViec!AG290</f>
        <v>0</v>
      </c>
      <c r="J153" s="550">
        <f>L_CViec!AH290</f>
        <v>0</v>
      </c>
      <c r="K153" s="705">
        <f>G153*$J153*L_CBac!$G$68</f>
        <v>0</v>
      </c>
      <c r="L153" s="705">
        <f>H153*$J153*L_CBac!$G$68</f>
        <v>0</v>
      </c>
      <c r="M153" s="705">
        <f>I153*$J153*L_CBac!$G$68</f>
        <v>0</v>
      </c>
      <c r="N153" s="705">
        <f>$D153*G153*L_CBac!$J$68</f>
        <v>0</v>
      </c>
      <c r="O153" s="705">
        <f>$D153*H153*L_CBac!$J$68</f>
        <v>0</v>
      </c>
      <c r="P153" s="705">
        <f>$D153*I153*L_CBac!$J$68</f>
        <v>0</v>
      </c>
      <c r="Q153" s="705">
        <f>$D153*G153*L_CBac!$J$69</f>
        <v>0</v>
      </c>
      <c r="R153" s="705">
        <f>$D153*H153*L_CBac!$J$69</f>
        <v>0</v>
      </c>
      <c r="S153" s="551">
        <f>$D153*I153*L_CBac!$J$69</f>
        <v>0</v>
      </c>
    </row>
    <row r="154" spans="1:19" s="552" customFormat="1" ht="36" customHeight="1">
      <c r="A154" s="546" t="str">
        <f>L_CViec!A300</f>
        <v>11</v>
      </c>
      <c r="B154" s="559" t="str">
        <f>L_CViec!B300</f>
        <v>Nhập nội dung của cấp xã,phường,đặc khu vào tệp (File) dữ liệu hồ sơ số</v>
      </c>
      <c r="C154" s="548" t="str">
        <f>L_CViec!AB300</f>
        <v>Thửa</v>
      </c>
      <c r="D154" s="548">
        <f>L_CViec!AA300</f>
        <v>1</v>
      </c>
      <c r="E154" s="548" t="str">
        <f>L_CViec!AC300</f>
        <v>1KS3</v>
      </c>
      <c r="F154" s="548" t="str">
        <f>L_CViec!AD300</f>
        <v>1-3</v>
      </c>
      <c r="G154" s="548">
        <f>L_CViec!AE300</f>
        <v>6.0000000000000001E-3</v>
      </c>
      <c r="H154" s="704">
        <f>L_CViec!AF300</f>
        <v>6.0000000000000001E-3</v>
      </c>
      <c r="I154" s="704">
        <f>L_CViec!AG300</f>
        <v>6.0000000000000001E-3</v>
      </c>
      <c r="J154" s="550">
        <f>L_CViec!AH300</f>
        <v>333450</v>
      </c>
      <c r="K154" s="705">
        <f>G154*$J154*L_CBac!$G$68</f>
        <v>2300.8049999999998</v>
      </c>
      <c r="L154" s="705">
        <f>H154*$J154*L_CBac!$G$68</f>
        <v>2300.8049999999998</v>
      </c>
      <c r="M154" s="705">
        <f>I154*$J154*L_CBac!$G$68</f>
        <v>2300.8049999999998</v>
      </c>
      <c r="N154" s="705">
        <f>$D154*G154*L_CBac!$J$68</f>
        <v>153.387</v>
      </c>
      <c r="O154" s="705">
        <f>$D154*H154*L_CBac!$J$68</f>
        <v>153.387</v>
      </c>
      <c r="P154" s="705">
        <f>$D154*I154*L_CBac!$J$68</f>
        <v>153.387</v>
      </c>
      <c r="Q154" s="705">
        <f>$D154*G154*L_CBac!$J$69</f>
        <v>168.46153846153848</v>
      </c>
      <c r="R154" s="705">
        <f>$D154*H154*L_CBac!$J$69</f>
        <v>168.46153846153848</v>
      </c>
      <c r="S154" s="551">
        <f>$D154*I154*L_CBac!$J$69</f>
        <v>168.46153846153848</v>
      </c>
    </row>
    <row r="155" spans="1:19" s="552" customFormat="1" ht="42.75" customHeight="1">
      <c r="A155" s="546" t="str">
        <f>L_CViec!A301</f>
        <v>12</v>
      </c>
      <c r="B155" s="559" t="str">
        <f>L_CViec!B301</f>
        <v>Trích lục bản đồ địa chính đối với nơi đã có bản đồ địa chính hoặc trích đo bản đồ địa chính</v>
      </c>
      <c r="C155" s="548">
        <f>L_CViec!AB301</f>
        <v>0</v>
      </c>
      <c r="D155" s="548">
        <f>L_CViec!AA301</f>
        <v>0</v>
      </c>
      <c r="E155" s="548">
        <f>L_CViec!AC301</f>
        <v>0</v>
      </c>
      <c r="F155" s="548">
        <f>L_CViec!AD301</f>
        <v>0</v>
      </c>
      <c r="G155" s="548">
        <f>L_CViec!AE301</f>
        <v>0</v>
      </c>
      <c r="H155" s="704">
        <f>L_CViec!AF301</f>
        <v>0</v>
      </c>
      <c r="I155" s="704">
        <f>L_CViec!AG301</f>
        <v>0</v>
      </c>
      <c r="J155" s="550">
        <f>L_CViec!AH301</f>
        <v>0</v>
      </c>
      <c r="K155" s="705"/>
      <c r="L155" s="705"/>
      <c r="M155" s="705"/>
      <c r="N155" s="705"/>
      <c r="O155" s="705"/>
      <c r="P155" s="705"/>
      <c r="Q155" s="705"/>
      <c r="R155" s="705"/>
      <c r="S155" s="551"/>
    </row>
    <row r="156" spans="1:19" s="558" customFormat="1" ht="21.95" customHeight="1">
      <c r="A156" s="553" t="str">
        <f>L_CViec!A302</f>
        <v>12.1</v>
      </c>
      <c r="B156" s="574" t="str">
        <f>L_CViec!B302</f>
        <v>Trích lục trên bản đồ dạng số</v>
      </c>
      <c r="C156" s="555" t="str">
        <f>L_CViec!AB302</f>
        <v>Hồ sơ</v>
      </c>
      <c r="D156" s="555">
        <f>L_CViec!AA302</f>
        <v>1</v>
      </c>
      <c r="E156" s="555" t="str">
        <f>L_CViec!AC302</f>
        <v>1KS2</v>
      </c>
      <c r="F156" s="555" t="str">
        <f>L_CViec!AD302</f>
        <v>1-3</v>
      </c>
      <c r="G156" s="555">
        <f>L_CViec!AE302</f>
        <v>0.05</v>
      </c>
      <c r="H156" s="706">
        <f>L_CViec!AF302</f>
        <v>0</v>
      </c>
      <c r="I156" s="706">
        <f>L_CViec!AG302</f>
        <v>0.05</v>
      </c>
      <c r="J156" s="556">
        <f>L_CViec!AH302</f>
        <v>296770.5</v>
      </c>
      <c r="K156" s="707">
        <f>G156*$J156*L_CBac!$G$68</f>
        <v>17064.303749999999</v>
      </c>
      <c r="L156" s="707">
        <f>H156*$J156*L_CBac!$G$68</f>
        <v>0</v>
      </c>
      <c r="M156" s="707">
        <f>I156*$J156*L_CBac!$G$68</f>
        <v>17064.303749999999</v>
      </c>
      <c r="N156" s="707">
        <f>$D156*G156*L_CBac!$J$68</f>
        <v>1278.2250000000001</v>
      </c>
      <c r="O156" s="707">
        <f>$D156*H156*L_CBac!$J$68</f>
        <v>0</v>
      </c>
      <c r="P156" s="707">
        <f>$D156*I156*L_CBac!$J$68</f>
        <v>1278.2250000000001</v>
      </c>
      <c r="Q156" s="707">
        <f>$D156*G156*L_CBac!$J$69</f>
        <v>1403.846153846154</v>
      </c>
      <c r="R156" s="707">
        <f>$D156*H156*L_CBac!$J$69</f>
        <v>0</v>
      </c>
      <c r="S156" s="557">
        <f>$D156*I156*L_CBac!$J$69</f>
        <v>1403.846153846154</v>
      </c>
    </row>
    <row r="157" spans="1:19" s="558" customFormat="1" ht="21.95" customHeight="1">
      <c r="A157" s="553" t="str">
        <f>L_CViec!A303</f>
        <v>12.2</v>
      </c>
      <c r="B157" s="574" t="str">
        <f>L_CViec!B303</f>
        <v>Trích lục trên bản đồ dạng giấy</v>
      </c>
      <c r="C157" s="555" t="str">
        <f>L_CViec!AB303</f>
        <v>Hồ sơ</v>
      </c>
      <c r="D157" s="555">
        <f>L_CViec!AA303</f>
        <v>1</v>
      </c>
      <c r="E157" s="555" t="str">
        <f>L_CViec!AC303</f>
        <v>1KS2</v>
      </c>
      <c r="F157" s="555" t="str">
        <f>L_CViec!AD303</f>
        <v>1-3</v>
      </c>
      <c r="G157" s="555">
        <f>L_CViec!AE303</f>
        <v>0.1</v>
      </c>
      <c r="H157" s="706">
        <f>L_CViec!AF303</f>
        <v>0</v>
      </c>
      <c r="I157" s="706">
        <f>L_CViec!AG303</f>
        <v>0.1</v>
      </c>
      <c r="J157" s="556">
        <f>L_CViec!AH303</f>
        <v>296770.5</v>
      </c>
      <c r="K157" s="707">
        <f>G157*$J157*L_CBac!$G$68</f>
        <v>34128.607499999998</v>
      </c>
      <c r="L157" s="707">
        <f>H157*$J157*L_CBac!$G$68</f>
        <v>0</v>
      </c>
      <c r="M157" s="707">
        <f>I157*$J157*L_CBac!$G$68</f>
        <v>34128.607499999998</v>
      </c>
      <c r="N157" s="707">
        <f>$D157*G157*L_CBac!$J$68</f>
        <v>2556.4500000000003</v>
      </c>
      <c r="O157" s="707">
        <f>$D157*H157*L_CBac!$J$68</f>
        <v>0</v>
      </c>
      <c r="P157" s="707">
        <f>$D157*I157*L_CBac!$J$68</f>
        <v>2556.4500000000003</v>
      </c>
      <c r="Q157" s="707">
        <f>$D157*G157*L_CBac!$J$69</f>
        <v>2807.6923076923081</v>
      </c>
      <c r="R157" s="707">
        <f>$D157*H157*L_CBac!$J$69</f>
        <v>0</v>
      </c>
      <c r="S157" s="557">
        <f>$D157*I157*L_CBac!$J$69</f>
        <v>2807.6923076923081</v>
      </c>
    </row>
    <row r="158" spans="1:19" s="552" customFormat="1" ht="30" customHeight="1">
      <c r="A158" s="546" t="str">
        <f>L_CViec!A310</f>
        <v>15</v>
      </c>
      <c r="B158" s="559" t="str">
        <f>L_CViec!B310</f>
        <v>Nhập thông tin thửa đất, tài sản gắn liền với đất, đăng ký vào hồ sơ địa chính</v>
      </c>
      <c r="C158" s="548" t="str">
        <f>L_CViec!AB310</f>
        <v>Thửa</v>
      </c>
      <c r="D158" s="548">
        <f>L_CViec!AA310</f>
        <v>1</v>
      </c>
      <c r="E158" s="548" t="str">
        <f>L_CViec!AC310</f>
        <v>1KS3</v>
      </c>
      <c r="F158" s="548" t="str">
        <f>L_CViec!AD310</f>
        <v>1-3</v>
      </c>
      <c r="G158" s="548">
        <f>L_CViec!AE310</f>
        <v>0.107</v>
      </c>
      <c r="H158" s="704">
        <f>L_CViec!AF310</f>
        <v>3.3000000000000002E-2</v>
      </c>
      <c r="I158" s="704">
        <f>L_CViec!AG310</f>
        <v>0.16700000000000001</v>
      </c>
      <c r="J158" s="550">
        <f>L_CViec!AH310</f>
        <v>333450</v>
      </c>
      <c r="K158" s="705">
        <f>G158*$J158*L_CBac!$G$68</f>
        <v>41031.022499999999</v>
      </c>
      <c r="L158" s="705">
        <f>H158*$J158*L_CBac!$G$68</f>
        <v>12654.4275</v>
      </c>
      <c r="M158" s="705">
        <f>I158*$J158*L_CBac!$G$68</f>
        <v>64039.072499999995</v>
      </c>
      <c r="N158" s="705">
        <f>$D158*G158*L_CBac!$J$68</f>
        <v>2735.4014999999999</v>
      </c>
      <c r="O158" s="705">
        <f>$D158*H158*L_CBac!$J$68</f>
        <v>843.62850000000003</v>
      </c>
      <c r="P158" s="705">
        <f>$D158*I158*L_CBac!$J$68</f>
        <v>4269.2714999999998</v>
      </c>
      <c r="Q158" s="705">
        <f>$D158*G158*L_CBac!$J$69</f>
        <v>3004.2307692307695</v>
      </c>
      <c r="R158" s="705">
        <f>$D158*H158*L_CBac!$J$69</f>
        <v>926.53846153846166</v>
      </c>
      <c r="S158" s="551">
        <f>$D158*I158*L_CBac!$J$69</f>
        <v>4688.8461538461543</v>
      </c>
    </row>
    <row r="159" spans="1:19" s="552" customFormat="1" ht="21.95" customHeight="1">
      <c r="A159" s="546" t="str">
        <f>L_CViec!A311</f>
        <v>16</v>
      </c>
      <c r="B159" s="559" t="str">
        <f>L_CViec!B311</f>
        <v>In GCN</v>
      </c>
      <c r="C159" s="548">
        <f>L_CViec!AB311</f>
        <v>0</v>
      </c>
      <c r="D159" s="548">
        <f>L_CViec!AA311</f>
        <v>0</v>
      </c>
      <c r="E159" s="548">
        <f>L_CViec!AC311</f>
        <v>0</v>
      </c>
      <c r="F159" s="548">
        <f>L_CViec!AD311</f>
        <v>0</v>
      </c>
      <c r="G159" s="548">
        <f>L_CViec!AE311</f>
        <v>0</v>
      </c>
      <c r="H159" s="704">
        <f>L_CViec!AF311</f>
        <v>0</v>
      </c>
      <c r="I159" s="704">
        <f>L_CViec!AG311</f>
        <v>0</v>
      </c>
      <c r="J159" s="550">
        <f>L_CViec!AH311</f>
        <v>0</v>
      </c>
      <c r="K159" s="705"/>
      <c r="L159" s="705"/>
      <c r="M159" s="705"/>
      <c r="N159" s="705"/>
      <c r="O159" s="705"/>
      <c r="P159" s="705"/>
      <c r="Q159" s="705"/>
      <c r="R159" s="705"/>
      <c r="S159" s="551"/>
    </row>
    <row r="160" spans="1:19" s="558" customFormat="1" ht="21.95" customHeight="1">
      <c r="A160" s="553" t="str">
        <f>L_CViec!A312</f>
        <v>16.1</v>
      </c>
      <c r="B160" s="574" t="str">
        <f>L_CViec!B312</f>
        <v>Trực tiếp từ cơ sở dữ liệu dạng số</v>
      </c>
      <c r="C160" s="555" t="str">
        <f>L_CViec!AB312</f>
        <v>GCN</v>
      </c>
      <c r="D160" s="555">
        <f>L_CViec!AA312</f>
        <v>1</v>
      </c>
      <c r="E160" s="555" t="str">
        <f>L_CViec!AC312</f>
        <v>1KS2</v>
      </c>
      <c r="F160" s="555" t="str">
        <f>L_CViec!AD312</f>
        <v>1-3</v>
      </c>
      <c r="G160" s="555">
        <f>L_CViec!AE312</f>
        <v>0.1</v>
      </c>
      <c r="H160" s="706">
        <f>L_CViec!AF312</f>
        <v>0.1</v>
      </c>
      <c r="I160" s="706">
        <f>L_CViec!AG312</f>
        <v>0.1</v>
      </c>
      <c r="J160" s="556">
        <f>L_CViec!AH312</f>
        <v>296770.5</v>
      </c>
      <c r="K160" s="707">
        <f>G160*$J160*L_CBac!$G$68</f>
        <v>34128.607499999998</v>
      </c>
      <c r="L160" s="707">
        <f>H160*$J160*L_CBac!$G$68</f>
        <v>34128.607499999998</v>
      </c>
      <c r="M160" s="707">
        <f>I160*$J160*L_CBac!$G$68</f>
        <v>34128.607499999998</v>
      </c>
      <c r="N160" s="707">
        <f>$D160*G160*L_CBac!$J$68</f>
        <v>2556.4500000000003</v>
      </c>
      <c r="O160" s="707">
        <f>$D160*H160*L_CBac!$J$68</f>
        <v>2556.4500000000003</v>
      </c>
      <c r="P160" s="707">
        <f>$D160*I160*L_CBac!$J$68</f>
        <v>2556.4500000000003</v>
      </c>
      <c r="Q160" s="707">
        <f>$D160*G160*L_CBac!$J$69</f>
        <v>2807.6923076923081</v>
      </c>
      <c r="R160" s="707">
        <f>$D160*H160*L_CBac!$J$69</f>
        <v>2807.6923076923081</v>
      </c>
      <c r="S160" s="557">
        <f>$D160*I160*L_CBac!$J$69</f>
        <v>2807.6923076923081</v>
      </c>
    </row>
    <row r="161" spans="1:19" s="558" customFormat="1" ht="21.95" customHeight="1">
      <c r="A161" s="553" t="str">
        <f>L_CViec!A313</f>
        <v>16.2</v>
      </c>
      <c r="B161" s="574" t="str">
        <f>L_CViec!B313</f>
        <v>Đối với những nơi chưa có bản đồ dạng số</v>
      </c>
      <c r="C161" s="555" t="str">
        <f>L_CViec!AB313</f>
        <v>GCN</v>
      </c>
      <c r="D161" s="555">
        <f>L_CViec!AA313</f>
        <v>1</v>
      </c>
      <c r="E161" s="555" t="str">
        <f>L_CViec!AC313</f>
        <v>1KS2</v>
      </c>
      <c r="F161" s="555" t="str">
        <f>L_CViec!AD313</f>
        <v>1-3</v>
      </c>
      <c r="G161" s="555">
        <f>L_CViec!AE313</f>
        <v>0.15</v>
      </c>
      <c r="H161" s="706">
        <f>L_CViec!AF313</f>
        <v>0.2</v>
      </c>
      <c r="I161" s="706">
        <f>L_CViec!AG313</f>
        <v>0.2</v>
      </c>
      <c r="J161" s="556">
        <f>L_CViec!AH313</f>
        <v>296770.5</v>
      </c>
      <c r="K161" s="707">
        <f>G161*$J161*L_CBac!$G$68</f>
        <v>51192.91124999999</v>
      </c>
      <c r="L161" s="707">
        <f>H161*$J161*L_CBac!$G$68</f>
        <v>68257.214999999997</v>
      </c>
      <c r="M161" s="707">
        <f>I161*$J161*L_CBac!$G$68</f>
        <v>68257.214999999997</v>
      </c>
      <c r="N161" s="707">
        <f>$D161*G161*L_CBac!$J$68</f>
        <v>3834.6749999999997</v>
      </c>
      <c r="O161" s="707">
        <f>$D161*H161*L_CBac!$J$68</f>
        <v>5112.9000000000005</v>
      </c>
      <c r="P161" s="707">
        <f>$D161*I161*L_CBac!$J$68</f>
        <v>5112.9000000000005</v>
      </c>
      <c r="Q161" s="707">
        <f>$D161*G161*L_CBac!$J$69</f>
        <v>4211.5384615384619</v>
      </c>
      <c r="R161" s="707">
        <f>$D161*H161*L_CBac!$J$69</f>
        <v>5615.3846153846162</v>
      </c>
      <c r="S161" s="557">
        <f>$D161*I161*L_CBac!$J$69</f>
        <v>5615.3846153846162</v>
      </c>
    </row>
    <row r="162" spans="1:19" s="552" customFormat="1" ht="97.5" customHeight="1">
      <c r="A162" s="546" t="str">
        <f>L_CViec!A314</f>
        <v>17</v>
      </c>
      <c r="B162" s="559" t="str">
        <f>L_CViec!B314</f>
        <v>Trích sao số liệu địa chính, quyết định hủy GCN bị mất, cấp đổi, cấp lại GCN, lập sổ theo dõi hồ sơ</v>
      </c>
      <c r="C162" s="548" t="str">
        <f>L_CViec!AB314</f>
        <v>Hồ sơ</v>
      </c>
      <c r="D162" s="548">
        <f>L_CViec!AA314</f>
        <v>1</v>
      </c>
      <c r="E162" s="548" t="str">
        <f>L_CViec!AC314</f>
        <v>1KS3</v>
      </c>
      <c r="F162" s="548" t="str">
        <f>L_CViec!AD314</f>
        <v>1-3</v>
      </c>
      <c r="G162" s="548">
        <f>L_CViec!AE314</f>
        <v>0.4</v>
      </c>
      <c r="H162" s="704">
        <f>L_CViec!AF314</f>
        <v>0.4</v>
      </c>
      <c r="I162" s="704">
        <f>L_CViec!AG314</f>
        <v>0.52</v>
      </c>
      <c r="J162" s="550">
        <f>L_CViec!AH314</f>
        <v>333450</v>
      </c>
      <c r="K162" s="705">
        <f>G162*$J162*L_CBac!$G$68</f>
        <v>153387</v>
      </c>
      <c r="L162" s="705">
        <f>H162*$J162*L_CBac!$G$68</f>
        <v>153387</v>
      </c>
      <c r="M162" s="705">
        <f>I162*$J162*L_CBac!$G$68</f>
        <v>199403.09999999998</v>
      </c>
      <c r="N162" s="705">
        <f>$D162*G162*L_CBac!$J$68</f>
        <v>10225.800000000001</v>
      </c>
      <c r="O162" s="705">
        <f>$D162*H162*L_CBac!$J$68</f>
        <v>10225.800000000001</v>
      </c>
      <c r="P162" s="705">
        <f>$D162*I162*L_CBac!$J$68</f>
        <v>13293.54</v>
      </c>
      <c r="Q162" s="705">
        <f>$D162*G162*L_CBac!$J$69</f>
        <v>11230.769230769232</v>
      </c>
      <c r="R162" s="705">
        <f>$D162*H162*L_CBac!$J$69</f>
        <v>11230.769230769232</v>
      </c>
      <c r="S162" s="551">
        <f>$D162*I162*L_CBac!$J$69</f>
        <v>14600.000000000002</v>
      </c>
    </row>
    <row r="163" spans="1:19" s="552" customFormat="1" ht="66" customHeight="1">
      <c r="A163" s="546" t="str">
        <f>L_CViec!A315</f>
        <v>18</v>
      </c>
      <c r="B163" s="559" t="str">
        <f>L_CViec!B315</f>
        <v>Cập nhật chỉnh lý HSĐC, thu phí, lệ phí, nộp kho bạc; gửi thông báo biến động cho cấp xã, phường</v>
      </c>
      <c r="C163" s="548" t="str">
        <f>L_CViec!AB315</f>
        <v>Hồ sơ</v>
      </c>
      <c r="D163" s="548">
        <f>L_CViec!AA315</f>
        <v>1</v>
      </c>
      <c r="E163" s="548" t="str">
        <f>L_CViec!AC315</f>
        <v>1KS2</v>
      </c>
      <c r="F163" s="548" t="str">
        <f>L_CViec!AD315</f>
        <v>1-3</v>
      </c>
      <c r="G163" s="548">
        <f>L_CViec!AE315</f>
        <v>0.37</v>
      </c>
      <c r="H163" s="704">
        <f>L_CViec!AF315</f>
        <v>0.37</v>
      </c>
      <c r="I163" s="704">
        <f>L_CViec!AG315</f>
        <v>0.44400000000000001</v>
      </c>
      <c r="J163" s="550">
        <f>L_CViec!AH315</f>
        <v>296770.5</v>
      </c>
      <c r="K163" s="705">
        <f>G163*$J163*L_CBac!$G$68</f>
        <v>126275.84774999999</v>
      </c>
      <c r="L163" s="705">
        <f>H163*$J163*L_CBac!$G$68</f>
        <v>126275.84774999999</v>
      </c>
      <c r="M163" s="705">
        <f>I163*$J163*L_CBac!$G$68</f>
        <v>151531.01730000001</v>
      </c>
      <c r="N163" s="705">
        <f>$D163*G163*L_CBac!$J$68</f>
        <v>9458.8649999999998</v>
      </c>
      <c r="O163" s="705">
        <f>$D163*H163*L_CBac!$J$68</f>
        <v>9458.8649999999998</v>
      </c>
      <c r="P163" s="705">
        <f>$D163*I163*L_CBac!$J$68</f>
        <v>11350.638000000001</v>
      </c>
      <c r="Q163" s="705">
        <f>$D163*G163*L_CBac!$J$69</f>
        <v>10388.461538461539</v>
      </c>
      <c r="R163" s="705">
        <f>$D163*H163*L_CBac!$J$69</f>
        <v>10388.461538461539</v>
      </c>
      <c r="S163" s="551">
        <f>$D163*I163*L_CBac!$J$69</f>
        <v>12466.153846153848</v>
      </c>
    </row>
    <row r="164" spans="1:19" s="552" customFormat="1" ht="21.95" customHeight="1">
      <c r="A164" s="546" t="e">
        <f>L_CViec!#REF!</f>
        <v>#REF!</v>
      </c>
      <c r="B164" s="559" t="e">
        <f>L_CViec!#REF!</f>
        <v>#REF!</v>
      </c>
      <c r="C164" s="548" t="e">
        <f>L_CViec!#REF!</f>
        <v>#REF!</v>
      </c>
      <c r="D164" s="548" t="e">
        <f>L_CViec!#REF!</f>
        <v>#REF!</v>
      </c>
      <c r="E164" s="548" t="e">
        <f>L_CViec!#REF!</f>
        <v>#REF!</v>
      </c>
      <c r="F164" s="548" t="e">
        <f>L_CViec!#REF!</f>
        <v>#REF!</v>
      </c>
      <c r="G164" s="548" t="e">
        <f>L_CViec!#REF!</f>
        <v>#REF!</v>
      </c>
      <c r="H164" s="704" t="e">
        <f>L_CViec!#REF!</f>
        <v>#REF!</v>
      </c>
      <c r="I164" s="704" t="e">
        <f>L_CViec!#REF!</f>
        <v>#REF!</v>
      </c>
      <c r="J164" s="550" t="e">
        <f>L_CViec!#REF!</f>
        <v>#REF!</v>
      </c>
      <c r="K164" s="705">
        <f>K165+K168+K169</f>
        <v>25722.999899999999</v>
      </c>
      <c r="L164" s="705">
        <f t="shared" ref="L164:S164" si="19">L165+L168+L169</f>
        <v>25722.999899999999</v>
      </c>
      <c r="M164" s="705">
        <f t="shared" si="19"/>
        <v>25722.999899999999</v>
      </c>
      <c r="N164" s="705">
        <f t="shared" si="19"/>
        <v>971.45100000000002</v>
      </c>
      <c r="O164" s="705">
        <f t="shared" si="19"/>
        <v>971.45100000000002</v>
      </c>
      <c r="P164" s="705">
        <f t="shared" si="19"/>
        <v>971.45100000000002</v>
      </c>
      <c r="Q164" s="705">
        <f t="shared" si="19"/>
        <v>1066.9230769230769</v>
      </c>
      <c r="R164" s="705">
        <f t="shared" si="19"/>
        <v>1066.9230769230769</v>
      </c>
      <c r="S164" s="551">
        <f t="shared" si="19"/>
        <v>1066.9230769230769</v>
      </c>
    </row>
    <row r="165" spans="1:19" s="558" customFormat="1" ht="48" customHeight="1">
      <c r="A165" s="553" t="str">
        <f>L_CViec!A316</f>
        <v>19</v>
      </c>
      <c r="B165" s="574" t="str">
        <f>L_CViec!B316</f>
        <v>Quét giấy tờ pháp lý về quyền sử dụng đất, quyền sở hữu nhà ở và tài sản khác gắn liền với đất</v>
      </c>
      <c r="C165" s="555">
        <f>L_CViec!AB316</f>
        <v>0</v>
      </c>
      <c r="D165" s="555">
        <f>L_CViec!AA316</f>
        <v>0</v>
      </c>
      <c r="E165" s="555">
        <f>L_CViec!AC316</f>
        <v>0</v>
      </c>
      <c r="F165" s="555">
        <f>L_CViec!AD316</f>
        <v>0</v>
      </c>
      <c r="G165" s="555">
        <f>L_CViec!AE316</f>
        <v>0</v>
      </c>
      <c r="H165" s="706">
        <f>L_CViec!AF316</f>
        <v>0</v>
      </c>
      <c r="I165" s="706">
        <f>L_CViec!AG316</f>
        <v>0</v>
      </c>
      <c r="J165" s="556">
        <f>L_CViec!AH316</f>
        <v>0</v>
      </c>
      <c r="K165" s="707">
        <f t="shared" ref="K165:S165" si="20">SUM(K166:K167)</f>
        <v>16749.860399999998</v>
      </c>
      <c r="L165" s="707">
        <f t="shared" si="20"/>
        <v>16749.860399999998</v>
      </c>
      <c r="M165" s="707">
        <f t="shared" si="20"/>
        <v>16749.860399999998</v>
      </c>
      <c r="N165" s="707">
        <f t="shared" si="20"/>
        <v>613.548</v>
      </c>
      <c r="O165" s="707">
        <f t="shared" si="20"/>
        <v>613.548</v>
      </c>
      <c r="P165" s="707">
        <f t="shared" si="20"/>
        <v>613.548</v>
      </c>
      <c r="Q165" s="707">
        <f t="shared" si="20"/>
        <v>673.84615384615392</v>
      </c>
      <c r="R165" s="707">
        <f t="shared" si="20"/>
        <v>673.84615384615392</v>
      </c>
      <c r="S165" s="557">
        <f t="shared" si="20"/>
        <v>673.84615384615392</v>
      </c>
    </row>
    <row r="166" spans="1:19" s="558" customFormat="1" ht="21.95" customHeight="1">
      <c r="A166" s="553" t="str">
        <f>L_CViec!A317</f>
        <v>19.1</v>
      </c>
      <c r="B166" s="574" t="str">
        <f>L_CViec!B317</f>
        <v>Quét trang A3</v>
      </c>
      <c r="C166" s="555" t="str">
        <f>L_CViec!AB317</f>
        <v>Trang</v>
      </c>
      <c r="D166" s="555">
        <f>L_CViec!AA317</f>
        <v>1</v>
      </c>
      <c r="E166" s="555" t="str">
        <f>L_CViec!AC317</f>
        <v>1KS1</v>
      </c>
      <c r="F166" s="555" t="str">
        <f>L_CViec!AD317</f>
        <v>1-3</v>
      </c>
      <c r="G166" s="555">
        <f>L_CViec!AE317</f>
        <v>1.6E-2</v>
      </c>
      <c r="H166" s="706">
        <f>L_CViec!AF317</f>
        <v>1.6E-2</v>
      </c>
      <c r="I166" s="706">
        <f>L_CViec!AG317</f>
        <v>1.6E-2</v>
      </c>
      <c r="J166" s="556">
        <f>L_CViec!AH317</f>
        <v>260091</v>
      </c>
      <c r="K166" s="707">
        <f>G166*$J166*L_CBac!$G$68*2</f>
        <v>9571.3487999999998</v>
      </c>
      <c r="L166" s="707">
        <f>H166*$J166*L_CBac!$G$68*2</f>
        <v>9571.3487999999998</v>
      </c>
      <c r="M166" s="707">
        <f>I166*$J166*L_CBac!$G$68*2</f>
        <v>9571.3487999999998</v>
      </c>
      <c r="N166" s="707">
        <f>$D166*G166*L_CBac!$J$68</f>
        <v>409.03199999999998</v>
      </c>
      <c r="O166" s="707">
        <f>$D166*H166*L_CBac!$J$68</f>
        <v>409.03199999999998</v>
      </c>
      <c r="P166" s="707">
        <f>$D166*I166*L_CBac!$J$68</f>
        <v>409.03199999999998</v>
      </c>
      <c r="Q166" s="556">
        <f>$D166*G166*L_CBac!$J$69</f>
        <v>449.23076923076928</v>
      </c>
      <c r="R166" s="556">
        <f>$D166*H166*L_CBac!$J$69</f>
        <v>449.23076923076928</v>
      </c>
      <c r="S166" s="557">
        <f>$D166*I166*L_CBac!$J$69</f>
        <v>449.23076923076928</v>
      </c>
    </row>
    <row r="167" spans="1:19" s="558" customFormat="1" ht="21.95" customHeight="1">
      <c r="A167" s="553" t="str">
        <f>L_CViec!A318</f>
        <v>19.2</v>
      </c>
      <c r="B167" s="574" t="str">
        <f>L_CViec!B318</f>
        <v>Quét trang A4</v>
      </c>
      <c r="C167" s="555" t="str">
        <f>L_CViec!AB318</f>
        <v>Trang</v>
      </c>
      <c r="D167" s="555">
        <f>L_CViec!AA318</f>
        <v>1</v>
      </c>
      <c r="E167" s="555" t="str">
        <f>L_CViec!AC318</f>
        <v>1KS1</v>
      </c>
      <c r="F167" s="555" t="str">
        <f>L_CViec!AD318</f>
        <v>1-3</v>
      </c>
      <c r="G167" s="555">
        <f>L_CViec!AE318</f>
        <v>8.0000000000000002E-3</v>
      </c>
      <c r="H167" s="706">
        <f>L_CViec!AF318</f>
        <v>8.0000000000000002E-3</v>
      </c>
      <c r="I167" s="706">
        <f>L_CViec!AG318</f>
        <v>8.0000000000000002E-3</v>
      </c>
      <c r="J167" s="556">
        <f>L_CViec!AH318</f>
        <v>260091</v>
      </c>
      <c r="K167" s="707">
        <f>G167*$J167*L_CBac!$G$68*3</f>
        <v>7178.5115999999998</v>
      </c>
      <c r="L167" s="707">
        <f>H167*$J167*L_CBac!$G$68*3</f>
        <v>7178.5115999999998</v>
      </c>
      <c r="M167" s="707">
        <f>I167*$J167*L_CBac!$G$68*3</f>
        <v>7178.5115999999998</v>
      </c>
      <c r="N167" s="707">
        <f>$D167*G167*L_CBac!$J$68</f>
        <v>204.51599999999999</v>
      </c>
      <c r="O167" s="707">
        <f>$D167*H167*L_CBac!$J$68</f>
        <v>204.51599999999999</v>
      </c>
      <c r="P167" s="707">
        <f>$D167*I167*L_CBac!$J$68</f>
        <v>204.51599999999999</v>
      </c>
      <c r="Q167" s="556">
        <f>$D167*G167*L_CBac!$J$69</f>
        <v>224.61538461538464</v>
      </c>
      <c r="R167" s="556">
        <f>$D167*H167*L_CBac!$J$69</f>
        <v>224.61538461538464</v>
      </c>
      <c r="S167" s="557">
        <f>$D167*I167*L_CBac!$J$69</f>
        <v>224.61538461538464</v>
      </c>
    </row>
    <row r="168" spans="1:19" s="558" customFormat="1" ht="51" customHeight="1">
      <c r="A168" s="553" t="str">
        <f>L_CViec!A319</f>
        <v>20</v>
      </c>
      <c r="B168" s="574" t="str">
        <f>L_CViec!B319</f>
        <v>Xử lý các tệp tin quét thành tệp (File) hồ sơ quét dạng số của thửa đất, lưu trữ dưới khuôn dạng tệp tin PDF</v>
      </c>
      <c r="C168" s="555" t="str">
        <f>L_CViec!AB319</f>
        <v>Trang</v>
      </c>
      <c r="D168" s="555">
        <f>L_CViec!AA319</f>
        <v>1</v>
      </c>
      <c r="E168" s="555" t="str">
        <f>L_CViec!AC319</f>
        <v>1KS1</v>
      </c>
      <c r="F168" s="555" t="str">
        <f>L_CViec!AD319</f>
        <v>1-3</v>
      </c>
      <c r="G168" s="555">
        <f>L_CViec!AE319</f>
        <v>4.0000000000000001E-3</v>
      </c>
      <c r="H168" s="706">
        <f>L_CViec!AF319</f>
        <v>4.0000000000000001E-3</v>
      </c>
      <c r="I168" s="706">
        <f>L_CViec!AG319</f>
        <v>4.0000000000000001E-3</v>
      </c>
      <c r="J168" s="556">
        <f>L_CViec!AH319</f>
        <v>260091</v>
      </c>
      <c r="K168" s="707">
        <f>G168*$J168*L_CBac!$G$68*5</f>
        <v>5982.0929999999998</v>
      </c>
      <c r="L168" s="707">
        <f>H168*$J168*L_CBac!$G$68*5</f>
        <v>5982.0929999999998</v>
      </c>
      <c r="M168" s="707">
        <f>I168*$J168*L_CBac!$G$68*5</f>
        <v>5982.0929999999998</v>
      </c>
      <c r="N168" s="707">
        <f>$D168*G168*L_CBac!$J$68</f>
        <v>102.258</v>
      </c>
      <c r="O168" s="707">
        <f>$D168*H168*L_CBac!$J$68</f>
        <v>102.258</v>
      </c>
      <c r="P168" s="707">
        <f>$D168*I168*L_CBac!$J$68</f>
        <v>102.258</v>
      </c>
      <c r="Q168" s="556">
        <f>$D168*G168*L_CBac!$J$69</f>
        <v>112.30769230769232</v>
      </c>
      <c r="R168" s="556">
        <f>$D168*H168*L_CBac!$J$69</f>
        <v>112.30769230769232</v>
      </c>
      <c r="S168" s="557">
        <f>$D168*I168*L_CBac!$J$69</f>
        <v>112.30769230769232</v>
      </c>
    </row>
    <row r="169" spans="1:19" s="558" customFormat="1" ht="33" customHeight="1">
      <c r="A169" s="553" t="str">
        <f>L_CViec!A320</f>
        <v>21</v>
      </c>
      <c r="B169" s="574" t="str">
        <f>L_CViec!B320</f>
        <v>Tạo liên kết hồ sơ quét dạng số với thửa đất trong cơ sở dữ liệu</v>
      </c>
      <c r="C169" s="555" t="str">
        <f>L_CViec!AB320</f>
        <v>Thửa</v>
      </c>
      <c r="D169" s="555">
        <f>L_CViec!AA320</f>
        <v>1</v>
      </c>
      <c r="E169" s="555" t="str">
        <f>L_CViec!AC320</f>
        <v>1KS1</v>
      </c>
      <c r="F169" s="555" t="str">
        <f>L_CViec!AD320</f>
        <v>1-3</v>
      </c>
      <c r="G169" s="555">
        <f>L_CViec!AE320</f>
        <v>0.01</v>
      </c>
      <c r="H169" s="706">
        <f>L_CViec!AF320</f>
        <v>0.01</v>
      </c>
      <c r="I169" s="706">
        <f>L_CViec!AG320</f>
        <v>0.01</v>
      </c>
      <c r="J169" s="556">
        <f>L_CViec!AH320</f>
        <v>260091</v>
      </c>
      <c r="K169" s="707">
        <f>G169*$J169*L_CBac!$G$68</f>
        <v>2991.0464999999995</v>
      </c>
      <c r="L169" s="707">
        <f>H169*$J169*L_CBac!$G$68</f>
        <v>2991.0464999999995</v>
      </c>
      <c r="M169" s="707">
        <f>I169*$J169*L_CBac!$G$68</f>
        <v>2991.0464999999995</v>
      </c>
      <c r="N169" s="707">
        <f>$D169*G169*L_CBac!$J$68</f>
        <v>255.64500000000001</v>
      </c>
      <c r="O169" s="707">
        <f>$D169*H169*L_CBac!$J$68</f>
        <v>255.64500000000001</v>
      </c>
      <c r="P169" s="707">
        <f>$D169*I169*L_CBac!$J$68</f>
        <v>255.64500000000001</v>
      </c>
      <c r="Q169" s="707">
        <f>$D169*G169*L_CBac!$J$69</f>
        <v>280.76923076923077</v>
      </c>
      <c r="R169" s="707">
        <f>$D169*H169*L_CBac!$J$69</f>
        <v>280.76923076923077</v>
      </c>
      <c r="S169" s="557">
        <f>$D169*I169*L_CBac!$J$69</f>
        <v>280.76923076923077</v>
      </c>
    </row>
    <row r="170" spans="1:19" s="552" customFormat="1" ht="96.75" customHeight="1">
      <c r="A170" s="546" t="str">
        <f>L_CViec!A321</f>
        <v>22</v>
      </c>
      <c r="B170" s="559" t="str">
        <f>L_CViec!B321</f>
        <v>Thông báo danh sách các trường hợp làm thủ tục cấp đổi, cấp lại Giấy chứng nhận cho bên nhận thế chấp quyền sử dụng đất, tài sản gắn liền với đất; xác nhận việc đăng ký thế chấp vào GCN sau khi được cơ quan có thẩm quyền ký cấp đổi, cấp lại</v>
      </c>
      <c r="C170" s="548" t="str">
        <f>L_CViec!AB321</f>
        <v>Hồ sơ</v>
      </c>
      <c r="D170" s="548">
        <f>L_CViec!AA321</f>
        <v>1</v>
      </c>
      <c r="E170" s="548" t="str">
        <f>L_CViec!AC321</f>
        <v>1KS2</v>
      </c>
      <c r="F170" s="548" t="str">
        <f>L_CViec!AD321</f>
        <v>1-3</v>
      </c>
      <c r="G170" s="548">
        <f>L_CViec!AE321</f>
        <v>0.05</v>
      </c>
      <c r="H170" s="704">
        <f>L_CViec!AF321</f>
        <v>0.05</v>
      </c>
      <c r="I170" s="704">
        <f>L_CViec!AG321</f>
        <v>6.5000000000000002E-2</v>
      </c>
      <c r="J170" s="550">
        <f>L_CViec!AH321</f>
        <v>296770.5</v>
      </c>
      <c r="K170" s="705">
        <f>G170*$J170*L_CBac!$G$68</f>
        <v>17064.303749999999</v>
      </c>
      <c r="L170" s="705">
        <f>H170*$J170*L_CBac!$G$68</f>
        <v>17064.303749999999</v>
      </c>
      <c r="M170" s="705">
        <f>I170*$J170*L_CBac!$G$68</f>
        <v>22183.594874999999</v>
      </c>
      <c r="N170" s="705">
        <f>$D170*G170*L_CBac!$J$68</f>
        <v>1278.2250000000001</v>
      </c>
      <c r="O170" s="705">
        <f>$D170*H170*L_CBac!$J$68</f>
        <v>1278.2250000000001</v>
      </c>
      <c r="P170" s="705">
        <f>$D170*I170*L_CBac!$J$68</f>
        <v>1661.6925000000001</v>
      </c>
      <c r="Q170" s="705">
        <f>$D170*G170*L_CBac!$J$69</f>
        <v>1403.846153846154</v>
      </c>
      <c r="R170" s="705">
        <f>$D170*H170*L_CBac!$J$69</f>
        <v>1403.846153846154</v>
      </c>
      <c r="S170" s="551">
        <f>$D170*I170*L_CBac!$J$69</f>
        <v>1825.0000000000002</v>
      </c>
    </row>
    <row r="171" spans="1:19" s="552" customFormat="1" ht="50.25" customHeight="1">
      <c r="A171" s="546" t="str">
        <f>L_CViec!A322</f>
        <v>23</v>
      </c>
      <c r="B171" s="559" t="str">
        <f>L_CViec!B322</f>
        <v>Chuyển Giấy chứng nhận đến Bộ phận một cửa để trao cho người sử dụng đất hoặc chuyển Giấy chứng nhận cho người sử dụng đất thông qua dịch vụ bưu chính công ích hoặc Văn phòng đăng ký đất đai nhận lại GCN cũ đang thế chấp từ tổ chức tín dụng và trao GCN mới</v>
      </c>
      <c r="C171" s="548" t="str">
        <f>L_CViec!AB322</f>
        <v>Hồ sơ</v>
      </c>
      <c r="D171" s="548">
        <f>L_CViec!AA322</f>
        <v>1</v>
      </c>
      <c r="E171" s="548" t="str">
        <f>L_CViec!AC322</f>
        <v>1KS2</v>
      </c>
      <c r="F171" s="548" t="str">
        <f>L_CViec!AD322</f>
        <v>1-3</v>
      </c>
      <c r="G171" s="548">
        <f>L_CViec!AE322</f>
        <v>0.05</v>
      </c>
      <c r="H171" s="704">
        <f>L_CViec!AF322</f>
        <v>0.05</v>
      </c>
      <c r="I171" s="704">
        <f>L_CViec!AG322</f>
        <v>6.5000000000000002E-2</v>
      </c>
      <c r="J171" s="550">
        <f>L_CViec!AH322</f>
        <v>296770.5</v>
      </c>
      <c r="K171" s="705">
        <f>G171*$J171*L_CBac!$G$68</f>
        <v>17064.303749999999</v>
      </c>
      <c r="L171" s="705">
        <f>H171*$J171*L_CBac!$G$68</f>
        <v>17064.303749999999</v>
      </c>
      <c r="M171" s="705">
        <f>I171*$J171*L_CBac!$G$68</f>
        <v>22183.594874999999</v>
      </c>
      <c r="N171" s="705">
        <f>$D171*G171*L_CBac!$J$68</f>
        <v>1278.2250000000001</v>
      </c>
      <c r="O171" s="705">
        <f>$D171*H171*L_CBac!$J$68</f>
        <v>1278.2250000000001</v>
      </c>
      <c r="P171" s="705">
        <f>$D171*I171*L_CBac!$J$68</f>
        <v>1661.6925000000001</v>
      </c>
      <c r="Q171" s="705">
        <f>$D171*G171*L_CBac!$J$69</f>
        <v>1403.846153846154</v>
      </c>
      <c r="R171" s="705">
        <f>$D171*H171*L_CBac!$J$69</f>
        <v>1403.846153846154</v>
      </c>
      <c r="S171" s="551">
        <f>$D171*I171*L_CBac!$J$69</f>
        <v>1825.0000000000002</v>
      </c>
    </row>
    <row r="172" spans="1:19" s="552" customFormat="1" ht="38.25" customHeight="1">
      <c r="A172" s="650" t="e">
        <f>L_CViec!#REF!</f>
        <v>#REF!</v>
      </c>
      <c r="B172" s="1750" t="e">
        <f>L_CViec!#REF!</f>
        <v>#REF!</v>
      </c>
      <c r="C172" s="1751" t="e">
        <f>L_CViec!#REF!</f>
        <v>#REF!</v>
      </c>
      <c r="D172" s="1752" t="e">
        <f>L_CViec!#REF!</f>
        <v>#REF!</v>
      </c>
      <c r="E172" s="629" t="e">
        <f>L_CViec!#REF!</f>
        <v>#REF!</v>
      </c>
      <c r="F172" s="629" t="e">
        <f>L_CViec!#REF!</f>
        <v>#REF!</v>
      </c>
      <c r="G172" s="628" t="e">
        <f>L_CViec!#REF!</f>
        <v>#REF!</v>
      </c>
      <c r="H172" s="630" t="e">
        <f>L_CViec!#REF!</f>
        <v>#REF!</v>
      </c>
      <c r="I172" s="630" t="e">
        <f>L_CViec!#REF!</f>
        <v>#REF!</v>
      </c>
      <c r="J172" s="630" t="e">
        <f>L_CViec!#REF!</f>
        <v>#REF!</v>
      </c>
      <c r="K172" s="703">
        <f>K173</f>
        <v>6825.7214999999997</v>
      </c>
      <c r="L172" s="703">
        <f t="shared" ref="L172:S172" si="21">L173</f>
        <v>6825.7214999999997</v>
      </c>
      <c r="M172" s="703">
        <f t="shared" si="21"/>
        <v>8873.4379499999995</v>
      </c>
      <c r="N172" s="703">
        <f t="shared" si="21"/>
        <v>511.29</v>
      </c>
      <c r="O172" s="703">
        <f t="shared" si="21"/>
        <v>511.29</v>
      </c>
      <c r="P172" s="703">
        <f t="shared" si="21"/>
        <v>664.67700000000002</v>
      </c>
      <c r="Q172" s="703">
        <f t="shared" si="21"/>
        <v>561.53846153846155</v>
      </c>
      <c r="R172" s="703">
        <f t="shared" si="21"/>
        <v>561.53846153846155</v>
      </c>
      <c r="S172" s="538">
        <f t="shared" si="21"/>
        <v>730</v>
      </c>
    </row>
    <row r="173" spans="1:19" s="552" customFormat="1" ht="34.5" customHeight="1">
      <c r="A173" s="546" t="str">
        <f>L_CViec!A323</f>
        <v>24</v>
      </c>
      <c r="B173" s="559" t="str">
        <f>L_CViec!B323</f>
        <v>UBND xã, phường nhận thông báo biến động, chỉnh lý vào HSĐC</v>
      </c>
      <c r="C173" s="548" t="str">
        <f>L_CViec!AB323</f>
        <v>Hồ sơ</v>
      </c>
      <c r="D173" s="548">
        <f>L_CViec!AA323</f>
        <v>1</v>
      </c>
      <c r="E173" s="548" t="str">
        <f>L_CViec!AC323</f>
        <v>1KS2</v>
      </c>
      <c r="F173" s="548" t="str">
        <f>L_CViec!AD323</f>
        <v>1-3</v>
      </c>
      <c r="G173" s="548">
        <f>L_CViec!AE323</f>
        <v>0.02</v>
      </c>
      <c r="H173" s="704">
        <f>L_CViec!AF323</f>
        <v>0.02</v>
      </c>
      <c r="I173" s="704">
        <f>L_CViec!AG323</f>
        <v>2.5999999999999999E-2</v>
      </c>
      <c r="J173" s="550">
        <f>L_CViec!AH323</f>
        <v>296770.5</v>
      </c>
      <c r="K173" s="705">
        <f>G173*$J173*L_CBac!$G$68</f>
        <v>6825.7214999999997</v>
      </c>
      <c r="L173" s="705">
        <f>H173*$J173*L_CBac!$G$68</f>
        <v>6825.7214999999997</v>
      </c>
      <c r="M173" s="705">
        <f>I173*$J173*L_CBac!$G$68</f>
        <v>8873.4379499999995</v>
      </c>
      <c r="N173" s="705">
        <f>$D173*G173*L_CBac!$J$68</f>
        <v>511.29</v>
      </c>
      <c r="O173" s="705">
        <f>$D173*H173*L_CBac!$J$68</f>
        <v>511.29</v>
      </c>
      <c r="P173" s="705">
        <f>$D173*I173*L_CBac!$J$68</f>
        <v>664.67700000000002</v>
      </c>
      <c r="Q173" s="705">
        <f>$D173*G173*L_CBac!$J$69</f>
        <v>561.53846153846155</v>
      </c>
      <c r="R173" s="705">
        <f>$D173*H173*L_CBac!$J$69</f>
        <v>561.53846153846155</v>
      </c>
      <c r="S173" s="551">
        <f>$D173*I173*L_CBac!$J$69</f>
        <v>730</v>
      </c>
    </row>
    <row r="174" spans="1:19" s="552" customFormat="1" ht="21.95" customHeight="1">
      <c r="A174" s="650" t="str">
        <f>L_CViec!A326</f>
        <v>V.3</v>
      </c>
      <c r="B174" s="629" t="str">
        <f>L_CViec!B326</f>
        <v>GHI CHÚ</v>
      </c>
      <c r="C174" s="629">
        <f>L_CViec!AB326</f>
        <v>0</v>
      </c>
      <c r="D174" s="629"/>
      <c r="E174" s="629">
        <f>L_CViec!AC326</f>
        <v>0</v>
      </c>
      <c r="F174" s="629">
        <f>L_CViec!AD326</f>
        <v>0</v>
      </c>
      <c r="G174" s="629">
        <f>L_CViec!AE326</f>
        <v>0</v>
      </c>
      <c r="H174" s="630">
        <f>L_CViec!AF326</f>
        <v>0</v>
      </c>
      <c r="I174" s="630">
        <f>L_CViec!AG326</f>
        <v>0</v>
      </c>
      <c r="J174" s="630">
        <f>L_CViec!AH326</f>
        <v>0</v>
      </c>
      <c r="K174" s="703"/>
      <c r="L174" s="703"/>
      <c r="M174" s="703"/>
      <c r="N174" s="703"/>
      <c r="O174" s="703"/>
      <c r="P174" s="703"/>
      <c r="Q174" s="703"/>
      <c r="R174" s="703"/>
      <c r="S174" s="675"/>
    </row>
    <row r="175" spans="1:19" s="552" customFormat="1" ht="39.950000000000003" customHeight="1">
      <c r="A175" s="546" t="str">
        <f>L_CViec!A327</f>
        <v>1</v>
      </c>
      <c r="B175" s="1733" t="str">
        <f>L_CViec!B327</f>
        <v>Cột “ĐM Đất” áp dụng cho trường hợp đăng ký, cấp GCN đối với đất; cột “ĐM TS” áp dụng cho trường hợp đăng ký, cấp GCN đối với tài sản; cột “ĐM Đất + TS” áp dụng đối với trường hợp đăng ký, cấp GCN đối với cả đất và tài sản gắn liền với đất</v>
      </c>
      <c r="C175" s="1734"/>
      <c r="D175" s="1734"/>
      <c r="E175" s="1734"/>
      <c r="F175" s="1734"/>
      <c r="G175" s="1734"/>
      <c r="H175" s="1734"/>
      <c r="I175" s="1734"/>
      <c r="J175" s="1734"/>
      <c r="K175" s="1734"/>
      <c r="L175" s="1734"/>
      <c r="M175" s="1809"/>
      <c r="N175" s="705"/>
      <c r="O175" s="705"/>
      <c r="P175" s="705"/>
      <c r="Q175" s="705"/>
      <c r="R175" s="705"/>
      <c r="S175" s="551"/>
    </row>
    <row r="176" spans="1:19" s="552" customFormat="1" ht="39.950000000000003" customHeight="1">
      <c r="A176" s="546" t="str">
        <f>L_CViec!A328</f>
        <v>2</v>
      </c>
      <c r="B176" s="1733" t="str">
        <f>L_CViec!B328</f>
        <v>Trường hợp nhiều thửa đất nông nghiệp lập chung trong 1 hồ sơ và cấp chung trong một GCN thì ngoài mức được tính ở trên, mỗi thửa đất tăng thêm được tính mức bằng 0,30 lần định mức quy định đối với Mục 2, 3, 4, 5, 6, 7, 8, 9, 10, 11, 12, 13, 14, 18, 19, 20, 21 và 23 các nội dung thực hiện tại địa bàn xã; Mục 1, 2 và 3 các nội dung thực hiện tại địa bàn cấp tỉnh của Bảng này.</v>
      </c>
      <c r="C176" s="1734"/>
      <c r="D176" s="1734"/>
      <c r="E176" s="1734"/>
      <c r="F176" s="1734"/>
      <c r="G176" s="1734"/>
      <c r="H176" s="1734"/>
      <c r="I176" s="1734"/>
      <c r="J176" s="1734"/>
      <c r="K176" s="1734"/>
      <c r="L176" s="1734"/>
      <c r="M176" s="1809"/>
      <c r="N176" s="705"/>
      <c r="O176" s="705"/>
      <c r="P176" s="705"/>
      <c r="Q176" s="705"/>
      <c r="R176" s="705"/>
      <c r="S176" s="551"/>
    </row>
    <row r="177" spans="1:19" s="552" customFormat="1" ht="39.950000000000003" customHeight="1">
      <c r="A177" s="546" t="str">
        <f>L_CViec!A329</f>
        <v>3</v>
      </c>
      <c r="B177" s="1733" t="str">
        <f>L_CViec!B329</f>
        <v>Trường hợp thửa đất đã cấp GCN mà có thay đổi về mục đích sử dụng đất, ranh giới thửa đất thì áp dụng theo định mức quy định tại Bảng này</v>
      </c>
      <c r="C177" s="1734"/>
      <c r="D177" s="1734"/>
      <c r="E177" s="1734"/>
      <c r="F177" s="1734"/>
      <c r="G177" s="1734"/>
      <c r="H177" s="1734"/>
      <c r="I177" s="1734"/>
      <c r="J177" s="1734"/>
      <c r="K177" s="1734"/>
      <c r="L177" s="1734"/>
      <c r="M177" s="1809"/>
      <c r="N177" s="705"/>
      <c r="O177" s="705"/>
      <c r="P177" s="705"/>
      <c r="Q177" s="705"/>
      <c r="R177" s="705"/>
      <c r="S177" s="551"/>
    </row>
    <row r="178" spans="1:19" s="552" customFormat="1" ht="39.950000000000003" customHeight="1">
      <c r="A178" s="546" t="str">
        <f>L_CViec!A330</f>
        <v>4</v>
      </c>
      <c r="B178" s="1733" t="str">
        <f>L_CViec!B330</f>
        <v>Trường hợp cấp đổi GCN đối với thửa đất có biến động khác về quyền sử dụng đất, tài sản gắn liền với đất (chuyển quyền sử dụng đất, thay đổi về tài sản gắn liền với đất, v.v...) thì định mức lao động quy định tại các mục 2 7, 8, 9, 10, 11, 12, 13, 14, 18, 19, 20, 21 và 23 các nội dung thực hiện tại địa bàn xã Bảng này được tính bằng 1,5 lần</v>
      </c>
      <c r="C178" s="1734"/>
      <c r="D178" s="1734"/>
      <c r="E178" s="1734"/>
      <c r="F178" s="1734"/>
      <c r="G178" s="1734"/>
      <c r="H178" s="1734"/>
      <c r="I178" s="1734"/>
      <c r="J178" s="1734"/>
      <c r="K178" s="1734"/>
      <c r="L178" s="1734"/>
      <c r="M178" s="1809"/>
      <c r="N178" s="705"/>
      <c r="O178" s="705"/>
      <c r="P178" s="705"/>
      <c r="Q178" s="705"/>
      <c r="R178" s="705"/>
      <c r="S178" s="551"/>
    </row>
    <row r="179" spans="1:19" s="552" customFormat="1" ht="39.950000000000003" customHeight="1">
      <c r="A179" s="546" t="str">
        <f>L_CViec!A331</f>
        <v>5</v>
      </c>
      <c r="B179" s="1733" t="str">
        <f>L_CViec!B331</f>
        <v>Trường hợp cấp đổi GCN đồng thời với thực hiện thủ tục đăng ký biến động đất đai thì áp dụng theo định mức đăng ký biến động đất đai quy định tại Điều 19 Quy định này</v>
      </c>
      <c r="C179" s="1734"/>
      <c r="D179" s="1734"/>
      <c r="E179" s="1734"/>
      <c r="F179" s="1734"/>
      <c r="G179" s="1734"/>
      <c r="H179" s="1734"/>
      <c r="I179" s="1734"/>
      <c r="J179" s="1734"/>
      <c r="K179" s="1734"/>
      <c r="L179" s="1734"/>
      <c r="M179" s="1809"/>
      <c r="N179" s="705"/>
      <c r="O179" s="705"/>
      <c r="P179" s="705"/>
      <c r="Q179" s="705"/>
      <c r="R179" s="705"/>
      <c r="S179" s="551"/>
    </row>
    <row r="180" spans="1:19" s="552" customFormat="1" ht="39.950000000000003" customHeight="1" thickBot="1">
      <c r="A180" s="593">
        <f>L_CViec!A332</f>
        <v>0</v>
      </c>
      <c r="B180" s="1810">
        <f>L_CViec!B332</f>
        <v>0</v>
      </c>
      <c r="C180" s="1811"/>
      <c r="D180" s="1811"/>
      <c r="E180" s="1811"/>
      <c r="F180" s="1811"/>
      <c r="G180" s="1811"/>
      <c r="H180" s="1811"/>
      <c r="I180" s="1811"/>
      <c r="J180" s="1811"/>
      <c r="K180" s="1811"/>
      <c r="L180" s="1811"/>
      <c r="M180" s="1812"/>
      <c r="N180" s="720"/>
      <c r="O180" s="720"/>
      <c r="P180" s="720"/>
      <c r="Q180" s="720"/>
      <c r="R180" s="720"/>
      <c r="S180" s="721"/>
    </row>
    <row r="181" spans="1:19" s="534" customFormat="1" ht="39.950000000000003" customHeight="1">
      <c r="A181" s="695" t="str">
        <f>L_CViec!A334</f>
        <v>VI</v>
      </c>
      <c r="B181" s="1773" t="str">
        <f>L_CViec!B334</f>
        <v>Đăng ký, cấp đổi, cấp lại Giấy chứng nhận riêng lẻ đối với tổ chức, tổ chức tôn giáo, tổ chức tôn giáo trực thuộc, tổ chức nước ngoài có chức năng ngoại giao, tổ chức kinh tế có vốn đầu tư nước ngoài, tổ chức nước ngoài, cá nhân nước ngoài</v>
      </c>
      <c r="C181" s="1774"/>
      <c r="D181" s="1774"/>
      <c r="E181" s="696" t="s">
        <v>345</v>
      </c>
      <c r="F181" s="697"/>
      <c r="G181" s="697"/>
      <c r="H181" s="697"/>
      <c r="I181" s="697"/>
      <c r="J181" s="698"/>
      <c r="K181" s="699"/>
      <c r="L181" s="699"/>
      <c r="M181" s="699"/>
      <c r="N181" s="699"/>
      <c r="O181" s="699"/>
      <c r="P181" s="699"/>
      <c r="Q181" s="699"/>
      <c r="R181" s="699"/>
      <c r="S181" s="700"/>
    </row>
    <row r="182" spans="1:19" s="552" customFormat="1" ht="39.950000000000003" customHeight="1">
      <c r="A182" s="650" t="str">
        <f>L_CViec!A335</f>
        <v>VI.1</v>
      </c>
      <c r="B182" s="1750" t="str">
        <f>L_CViec!B335</f>
        <v>CÁC NỘI DUNG THỰC HIỆN TẠI ĐỊA BÀN CẤP TỈNH</v>
      </c>
      <c r="C182" s="1751">
        <f>L_CViec!AB335</f>
        <v>0</v>
      </c>
      <c r="D182" s="1752"/>
      <c r="E182" s="629">
        <f>L_CViec!AC335</f>
        <v>0</v>
      </c>
      <c r="F182" s="629">
        <f>L_CViec!AD335</f>
        <v>0</v>
      </c>
      <c r="G182" s="628"/>
      <c r="H182" s="630"/>
      <c r="I182" s="630"/>
      <c r="J182" s="630">
        <f>L_CViec!AH335</f>
        <v>0</v>
      </c>
      <c r="K182" s="703">
        <f>SUM(K184,K186,K187,K188,K189,K191,K193,K195,K197,K198,K199,K205,K206)</f>
        <v>1146598.5023999999</v>
      </c>
      <c r="L182" s="703">
        <f t="shared" ref="L182:S182" si="22">SUM(L184,L186,L187,L188,L189,L191,L193,L195,L197,L198,L199,L205,L206)</f>
        <v>1072781.00865</v>
      </c>
      <c r="M182" s="703">
        <f t="shared" si="22"/>
        <v>1488210.5247750001</v>
      </c>
      <c r="N182" s="703">
        <f t="shared" si="22"/>
        <v>74852.856000000014</v>
      </c>
      <c r="O182" s="703">
        <f t="shared" si="22"/>
        <v>69791.085000000006</v>
      </c>
      <c r="P182" s="703">
        <f t="shared" si="22"/>
        <v>97247.358000000007</v>
      </c>
      <c r="Q182" s="703">
        <f t="shared" si="22"/>
        <v>82209.23076923078</v>
      </c>
      <c r="R182" s="703">
        <f t="shared" si="22"/>
        <v>76650</v>
      </c>
      <c r="S182" s="538">
        <f t="shared" si="22"/>
        <v>106804.61538461539</v>
      </c>
    </row>
    <row r="183" spans="1:19" s="552" customFormat="1" ht="39.950000000000003" customHeight="1">
      <c r="A183" s="546" t="str">
        <f>L_CViec!A336</f>
        <v>1</v>
      </c>
      <c r="B183" s="559" t="str">
        <f>L_CViec!B336</f>
        <v>Hướng dẫn lập hồ sơ đề nghị cấp lại hoặc đề nghị cấp đổi GCN</v>
      </c>
      <c r="C183" s="548">
        <f>L_CViec!AB336</f>
        <v>0</v>
      </c>
      <c r="D183" s="548"/>
      <c r="E183" s="548">
        <f>L_CViec!AC336</f>
        <v>0</v>
      </c>
      <c r="F183" s="548">
        <f>L_CViec!AD336</f>
        <v>0</v>
      </c>
      <c r="G183" s="548">
        <f>L_CViec!AE336</f>
        <v>0</v>
      </c>
      <c r="H183" s="704">
        <f>L_CViec!AF336</f>
        <v>0</v>
      </c>
      <c r="I183" s="704">
        <f>L_CViec!AG336</f>
        <v>0</v>
      </c>
      <c r="J183" s="550">
        <f>L_CViec!AH336</f>
        <v>0</v>
      </c>
      <c r="K183" s="705"/>
      <c r="L183" s="705"/>
      <c r="M183" s="705"/>
      <c r="N183" s="705"/>
      <c r="O183" s="705"/>
      <c r="P183" s="705"/>
      <c r="Q183" s="705"/>
      <c r="R183" s="705"/>
      <c r="S183" s="551"/>
    </row>
    <row r="184" spans="1:19" s="558" customFormat="1" ht="24.95" customHeight="1">
      <c r="A184" s="553" t="str">
        <f>L_CViec!A337</f>
        <v>1.1</v>
      </c>
      <c r="B184" s="574" t="str">
        <f>L_CViec!B337</f>
        <v>Theo hình thức trực tiếp</v>
      </c>
      <c r="C184" s="555" t="str">
        <f>L_CViec!AB337</f>
        <v>Hồ sơ</v>
      </c>
      <c r="D184" s="555">
        <f>L_CViec!AA337</f>
        <v>1</v>
      </c>
      <c r="E184" s="555" t="str">
        <f>L_CViec!AC337</f>
        <v>1KS2</v>
      </c>
      <c r="F184" s="555" t="str">
        <f>L_CViec!AD337</f>
        <v>1-3</v>
      </c>
      <c r="G184" s="555">
        <f>L_CViec!AE337</f>
        <v>0.25</v>
      </c>
      <c r="H184" s="706">
        <f>L_CViec!AF337</f>
        <v>0.25</v>
      </c>
      <c r="I184" s="706">
        <f>L_CViec!AG337</f>
        <v>0.32500000000000001</v>
      </c>
      <c r="J184" s="556">
        <f>L_CViec!AH337</f>
        <v>296770.5</v>
      </c>
      <c r="K184" s="707">
        <f>G184*$J184*L_CBac!$G$68</f>
        <v>85321.518749999988</v>
      </c>
      <c r="L184" s="707">
        <f>H184*$J184*L_CBac!$G$68</f>
        <v>85321.518749999988</v>
      </c>
      <c r="M184" s="707">
        <f>I184*$J184*L_CBac!$G$68</f>
        <v>110917.97437500001</v>
      </c>
      <c r="N184" s="707">
        <f>$D184*G184*L_CBac!$J$68</f>
        <v>6391.125</v>
      </c>
      <c r="O184" s="707">
        <f>$D184*H184*L_CBac!$J$68</f>
        <v>6391.125</v>
      </c>
      <c r="P184" s="707">
        <f>$D184*I184*L_CBac!$J$68</f>
        <v>8308.4624999999996</v>
      </c>
      <c r="Q184" s="707">
        <f>$D184*G184*L_CBac!$J$69</f>
        <v>7019.2307692307695</v>
      </c>
      <c r="R184" s="707">
        <f>$D184*H184*L_CBac!$J$69</f>
        <v>7019.2307692307695</v>
      </c>
      <c r="S184" s="557">
        <f>$D184*I184*L_CBac!$J$69</f>
        <v>9125</v>
      </c>
    </row>
    <row r="185" spans="1:19" s="558" customFormat="1" ht="24.95" customHeight="1">
      <c r="A185" s="553" t="str">
        <f>L_CViec!A338</f>
        <v>1.2</v>
      </c>
      <c r="B185" s="574" t="str">
        <f>L_CViec!B338</f>
        <v>Theo hình thức trực tuyến</v>
      </c>
      <c r="C185" s="555" t="str">
        <f>L_CViec!AB338</f>
        <v>Hồ sơ</v>
      </c>
      <c r="D185" s="555">
        <f>L_CViec!AA338</f>
        <v>1</v>
      </c>
      <c r="E185" s="555" t="str">
        <f>L_CViec!AC338</f>
        <v>1KS2</v>
      </c>
      <c r="F185" s="555" t="str">
        <f>L_CViec!AD338</f>
        <v>1-3</v>
      </c>
      <c r="G185" s="555">
        <f>L_CViec!AE338</f>
        <v>0.2</v>
      </c>
      <c r="H185" s="706">
        <f>L_CViec!AF338</f>
        <v>0.2</v>
      </c>
      <c r="I185" s="706">
        <f>L_CViec!AG338</f>
        <v>0.26</v>
      </c>
      <c r="J185" s="556">
        <f>L_CViec!AH338</f>
        <v>296770.5</v>
      </c>
      <c r="K185" s="707">
        <f>G185*$J185*L_CBac!$G$68</f>
        <v>68257.214999999997</v>
      </c>
      <c r="L185" s="707">
        <f>H185*$J185*L_CBac!$G$68</f>
        <v>68257.214999999997</v>
      </c>
      <c r="M185" s="707">
        <f>I185*$J185*L_CBac!$G$68</f>
        <v>88734.379499999995</v>
      </c>
      <c r="N185" s="707">
        <f>$D185*G185*L_CBac!$J$68</f>
        <v>5112.9000000000005</v>
      </c>
      <c r="O185" s="707">
        <f>$D185*H185*L_CBac!$J$68</f>
        <v>5112.9000000000005</v>
      </c>
      <c r="P185" s="707">
        <f>$D185*I185*L_CBac!$J$68</f>
        <v>6646.77</v>
      </c>
      <c r="Q185" s="707">
        <f>$D185*G185*L_CBac!$J$69</f>
        <v>5615.3846153846162</v>
      </c>
      <c r="R185" s="707">
        <f>$D185*H185*L_CBac!$J$69</f>
        <v>5615.3846153846162</v>
      </c>
      <c r="S185" s="557">
        <f>$D185*I185*L_CBac!$J$69</f>
        <v>7300.0000000000009</v>
      </c>
    </row>
    <row r="186" spans="1:19" s="552" customFormat="1" ht="66" customHeight="1">
      <c r="A186" s="546" t="str">
        <f>L_CViec!A339</f>
        <v>2</v>
      </c>
      <c r="B186" s="559" t="str">
        <f>L_CViec!B339</f>
        <v>Nhận, kiểm tra tính đầy đủ của thành phần hồ sơ và cấp Giấy tiếp nhận hồ sơ và hẹn trả kết quả hoặc trả lại hồ sơ, vào sổ theo dõi nhận, trả hồ sơ (theo hình thức trực tiếp, trực tuyến)</v>
      </c>
      <c r="C186" s="548" t="str">
        <f>L_CViec!AB339</f>
        <v>Hồ sơ</v>
      </c>
      <c r="D186" s="548">
        <f>L_CViec!AA339</f>
        <v>1</v>
      </c>
      <c r="E186" s="548" t="str">
        <f>L_CViec!AC339</f>
        <v>1KS2</v>
      </c>
      <c r="F186" s="548" t="str">
        <f>L_CViec!AD339</f>
        <v>1-3</v>
      </c>
      <c r="G186" s="548">
        <f>L_CViec!AE339</f>
        <v>0.2</v>
      </c>
      <c r="H186" s="704">
        <f>L_CViec!AF339</f>
        <v>0.2</v>
      </c>
      <c r="I186" s="704">
        <f>L_CViec!AG339</f>
        <v>0.26</v>
      </c>
      <c r="J186" s="550">
        <f>L_CViec!AH339</f>
        <v>296770.5</v>
      </c>
      <c r="K186" s="705">
        <f>G186*$J186*L_CBac!$G$68</f>
        <v>68257.214999999997</v>
      </c>
      <c r="L186" s="705">
        <f>H186*$J186*L_CBac!$G$68</f>
        <v>68257.214999999997</v>
      </c>
      <c r="M186" s="705">
        <f>I186*$J186*L_CBac!$G$68</f>
        <v>88734.379499999995</v>
      </c>
      <c r="N186" s="705">
        <f>$D186*G186*L_CBac!$J$68</f>
        <v>5112.9000000000005</v>
      </c>
      <c r="O186" s="705">
        <f>$D186*H186*L_CBac!$J$68</f>
        <v>5112.9000000000005</v>
      </c>
      <c r="P186" s="705">
        <f>$D186*I186*L_CBac!$J$68</f>
        <v>6646.77</v>
      </c>
      <c r="Q186" s="705">
        <f>$D186*G186*L_CBac!$J$69</f>
        <v>5615.3846153846162</v>
      </c>
      <c r="R186" s="705">
        <f>$D186*H186*L_CBac!$J$69</f>
        <v>5615.3846153846162</v>
      </c>
      <c r="S186" s="551">
        <f>$D186*I186*L_CBac!$J$69</f>
        <v>7300.0000000000009</v>
      </c>
    </row>
    <row r="187" spans="1:19" s="552" customFormat="1" ht="57" customHeight="1">
      <c r="A187" s="546" t="str">
        <f>L_CViec!A340</f>
        <v>3</v>
      </c>
      <c r="B187" s="559" t="str">
        <f>L_CViec!B340</f>
        <v>Tạo tệp (File) dữ liệu hồ sơ số và nhập thông tin do người sử dụng đất quản lý kê khai, đăng ký</v>
      </c>
      <c r="C187" s="548" t="str">
        <f>L_CViec!AB340</f>
        <v>Thửa</v>
      </c>
      <c r="D187" s="548">
        <f>L_CViec!AA340</f>
        <v>1</v>
      </c>
      <c r="E187" s="548" t="str">
        <f>L_CViec!AC340</f>
        <v>1KS3</v>
      </c>
      <c r="F187" s="548" t="str">
        <f>L_CViec!AD340</f>
        <v>1-3</v>
      </c>
      <c r="G187" s="548">
        <f>L_CViec!AE340</f>
        <v>0.107</v>
      </c>
      <c r="H187" s="704">
        <f>L_CViec!AF340</f>
        <v>3.3000000000000002E-2</v>
      </c>
      <c r="I187" s="704">
        <f>L_CViec!AG340</f>
        <v>0.16700000000000001</v>
      </c>
      <c r="J187" s="550">
        <f>L_CViec!AH340</f>
        <v>333450</v>
      </c>
      <c r="K187" s="705">
        <f>G187*$J187*L_CBac!$G$68</f>
        <v>41031.022499999999</v>
      </c>
      <c r="L187" s="705">
        <f>H187*$J187*L_CBac!$G$68</f>
        <v>12654.4275</v>
      </c>
      <c r="M187" s="705">
        <f>I187*$J187*L_CBac!$G$68</f>
        <v>64039.072499999995</v>
      </c>
      <c r="N187" s="705">
        <f>$D187*G187*L_CBac!$J$68</f>
        <v>2735.4014999999999</v>
      </c>
      <c r="O187" s="705">
        <f>$D187*H187*L_CBac!$J$68</f>
        <v>843.62850000000003</v>
      </c>
      <c r="P187" s="705">
        <f>$D187*I187*L_CBac!$J$68</f>
        <v>4269.2714999999998</v>
      </c>
      <c r="Q187" s="705">
        <f>$D187*G187*L_CBac!$J$69</f>
        <v>3004.2307692307695</v>
      </c>
      <c r="R187" s="705">
        <f>$D187*H187*L_CBac!$J$69</f>
        <v>926.53846153846166</v>
      </c>
      <c r="S187" s="551">
        <f>$D187*I187*L_CBac!$J$69</f>
        <v>4688.8461538461543</v>
      </c>
    </row>
    <row r="188" spans="1:19" s="552" customFormat="1" ht="64.5" customHeight="1">
      <c r="A188" s="546" t="str">
        <f>L_CViec!A348</f>
        <v>7</v>
      </c>
      <c r="B188" s="559" t="str">
        <f>L_CViec!B348</f>
        <v>Kiểm tra hồ sơ đề nghị đăng ký, cấp đổi, cấp lại Giấy chứng nhận</v>
      </c>
      <c r="C188" s="548" t="str">
        <f>L_CViec!AB348</f>
        <v>Hồ sơ</v>
      </c>
      <c r="D188" s="548">
        <f>L_CViec!AA348</f>
        <v>1</v>
      </c>
      <c r="E188" s="548" t="str">
        <f>L_CViec!AC348</f>
        <v>1KS4</v>
      </c>
      <c r="F188" s="548" t="str">
        <f>L_CViec!AD348</f>
        <v>1-3</v>
      </c>
      <c r="G188" s="548">
        <f>L_CViec!AE348</f>
        <v>1</v>
      </c>
      <c r="H188" s="704">
        <f>L_CViec!AF348</f>
        <v>1</v>
      </c>
      <c r="I188" s="704">
        <f>L_CViec!AG348</f>
        <v>1.3</v>
      </c>
      <c r="J188" s="550">
        <f>L_CViec!AH348</f>
        <v>370129.5</v>
      </c>
      <c r="K188" s="705">
        <f>G188*$J188*L_CBac!$G$68</f>
        <v>425648.92499999999</v>
      </c>
      <c r="L188" s="705">
        <f>H188*$J188*L_CBac!$G$68</f>
        <v>425648.92499999999</v>
      </c>
      <c r="M188" s="705">
        <f>I188*$J188*L_CBac!$G$68</f>
        <v>553343.60250000004</v>
      </c>
      <c r="N188" s="705">
        <f>$D188*G188*L_CBac!$J$68</f>
        <v>25564.5</v>
      </c>
      <c r="O188" s="705">
        <f>$D188*H188*L_CBac!$J$68</f>
        <v>25564.5</v>
      </c>
      <c r="P188" s="705">
        <f>$D188*I188*L_CBac!$J$68</f>
        <v>33233.85</v>
      </c>
      <c r="Q188" s="705">
        <f>$D188*G188*L_CBac!$J$69</f>
        <v>28076.923076923078</v>
      </c>
      <c r="R188" s="705">
        <f>$D188*H188*L_CBac!$J$69</f>
        <v>28076.923076923078</v>
      </c>
      <c r="S188" s="551">
        <f>$D188*I188*L_CBac!$J$69</f>
        <v>36500</v>
      </c>
    </row>
    <row r="189" spans="1:19" s="552" customFormat="1" ht="39.950000000000003" customHeight="1">
      <c r="A189" s="546" t="str">
        <f>L_CViec!A354</f>
        <v>8</v>
      </c>
      <c r="B189" s="559" t="str">
        <f>L_CViec!B354</f>
        <v>Nhập ý kiến nội dung xác nhận của cấp tỉnh vào tệp (File) dữ liệu hồ sơ số</v>
      </c>
      <c r="C189" s="548" t="str">
        <f>L_CViec!AB354</f>
        <v>Thửa</v>
      </c>
      <c r="D189" s="548">
        <f>L_CViec!AA354</f>
        <v>1</v>
      </c>
      <c r="E189" s="548" t="str">
        <f>L_CViec!AC354</f>
        <v>1KS3</v>
      </c>
      <c r="F189" s="548" t="str">
        <f>L_CViec!AD354</f>
        <v>1-3</v>
      </c>
      <c r="G189" s="548">
        <f>L_CViec!AE354</f>
        <v>6.0000000000000001E-3</v>
      </c>
      <c r="H189" s="704">
        <f>L_CViec!AF354</f>
        <v>6.0000000000000001E-3</v>
      </c>
      <c r="I189" s="704">
        <f>L_CViec!AG354</f>
        <v>6.0000000000000001E-3</v>
      </c>
      <c r="J189" s="550">
        <f>L_CViec!AH354</f>
        <v>333450</v>
      </c>
      <c r="K189" s="705">
        <f>G189*$J189*L_CBac!$G$68</f>
        <v>2300.8049999999998</v>
      </c>
      <c r="L189" s="705">
        <f>H189*$J189*L_CBac!$G$68</f>
        <v>2300.8049999999998</v>
      </c>
      <c r="M189" s="705">
        <f>I189*$J189*L_CBac!$G$68</f>
        <v>2300.8049999999998</v>
      </c>
      <c r="N189" s="705">
        <f>$D189*G189*L_CBac!$J$68</f>
        <v>153.387</v>
      </c>
      <c r="O189" s="705">
        <f>$D189*H189*L_CBac!$J$68</f>
        <v>153.387</v>
      </c>
      <c r="P189" s="705">
        <f>$D189*I189*L_CBac!$J$68</f>
        <v>153.387</v>
      </c>
      <c r="Q189" s="705">
        <f>$D189*G189*L_CBac!$J$69</f>
        <v>168.46153846153848</v>
      </c>
      <c r="R189" s="705">
        <f>$D189*H189*L_CBac!$J$69</f>
        <v>168.46153846153848</v>
      </c>
      <c r="S189" s="551">
        <f>$D189*I189*L_CBac!$J$69</f>
        <v>168.46153846153848</v>
      </c>
    </row>
    <row r="190" spans="1:19" s="552" customFormat="1" ht="80.25" customHeight="1">
      <c r="A190" s="546" t="str">
        <f>L_CViec!A355</f>
        <v>9</v>
      </c>
      <c r="B190" s="559" t="str">
        <f>L_CViec!B355</f>
        <v>Trích lục bản đồ địa chính hoặc trích đo bản đồ địa chính</v>
      </c>
      <c r="C190" s="548">
        <f>L_CViec!AB355</f>
        <v>0</v>
      </c>
      <c r="D190" s="548">
        <f>L_CViec!AA355</f>
        <v>0</v>
      </c>
      <c r="E190" s="548">
        <f>L_CViec!AC355</f>
        <v>0</v>
      </c>
      <c r="F190" s="548">
        <f>L_CViec!AD355</f>
        <v>0</v>
      </c>
      <c r="G190" s="548">
        <f>L_CViec!AE355</f>
        <v>0</v>
      </c>
      <c r="H190" s="704">
        <f>L_CViec!AF355</f>
        <v>0</v>
      </c>
      <c r="I190" s="704">
        <f>L_CViec!AG355</f>
        <v>0</v>
      </c>
      <c r="J190" s="550">
        <f>L_CViec!AH355</f>
        <v>0</v>
      </c>
      <c r="K190" s="705"/>
      <c r="L190" s="705"/>
      <c r="M190" s="705"/>
      <c r="N190" s="705"/>
      <c r="O190" s="705"/>
      <c r="P190" s="705"/>
      <c r="Q190" s="705"/>
      <c r="R190" s="705"/>
      <c r="S190" s="551"/>
    </row>
    <row r="191" spans="1:19" s="552" customFormat="1" ht="24.95" customHeight="1">
      <c r="A191" s="546" t="str">
        <f>L_CViec!A356</f>
        <v>9.1</v>
      </c>
      <c r="B191" s="559" t="str">
        <f>L_CViec!B356</f>
        <v>Trích lục trên bản đồ dạng số</v>
      </c>
      <c r="C191" s="548" t="str">
        <f>L_CViec!AB356</f>
        <v>Hồ sơ</v>
      </c>
      <c r="D191" s="548">
        <f>L_CViec!AA356</f>
        <v>1</v>
      </c>
      <c r="E191" s="548" t="str">
        <f>L_CViec!AC356</f>
        <v>1KS2</v>
      </c>
      <c r="F191" s="548" t="str">
        <f>L_CViec!AD356</f>
        <v>1-3</v>
      </c>
      <c r="G191" s="548">
        <f>L_CViec!AE356</f>
        <v>0.05</v>
      </c>
      <c r="H191" s="704">
        <f>L_CViec!AF356</f>
        <v>0</v>
      </c>
      <c r="I191" s="704">
        <f>L_CViec!AG356</f>
        <v>0.05</v>
      </c>
      <c r="J191" s="550">
        <f>L_CViec!AH356</f>
        <v>296770.5</v>
      </c>
      <c r="K191" s="707">
        <f>G191*$J191*L_CBac!$G$68</f>
        <v>17064.303749999999</v>
      </c>
      <c r="L191" s="707">
        <f>H191*$J191*L_CBac!$G$68</f>
        <v>0</v>
      </c>
      <c r="M191" s="707">
        <f>I191*$J191*L_CBac!$G$68</f>
        <v>17064.303749999999</v>
      </c>
      <c r="N191" s="707">
        <f>$D191*G191*L_CBac!$J$68</f>
        <v>1278.2250000000001</v>
      </c>
      <c r="O191" s="707">
        <f>$D191*H191*L_CBac!$J$68</f>
        <v>0</v>
      </c>
      <c r="P191" s="707">
        <f>$D191*I191*L_CBac!$J$68</f>
        <v>1278.2250000000001</v>
      </c>
      <c r="Q191" s="707">
        <f>$D191*G191*L_CBac!$J$69</f>
        <v>1403.846153846154</v>
      </c>
      <c r="R191" s="707">
        <f>$D191*H191*L_CBac!$J$69</f>
        <v>0</v>
      </c>
      <c r="S191" s="557">
        <f>$D191*I191*L_CBac!$J$69</f>
        <v>1403.846153846154</v>
      </c>
    </row>
    <row r="192" spans="1:19" s="552" customFormat="1" ht="24.95" customHeight="1">
      <c r="A192" s="546" t="str">
        <f>L_CViec!A357</f>
        <v>9.2</v>
      </c>
      <c r="B192" s="559" t="str">
        <f>L_CViec!B357</f>
        <v>Trích lục trên bản đồ dạng giấy</v>
      </c>
      <c r="C192" s="548" t="str">
        <f>L_CViec!AB357</f>
        <v>Hồ sơ</v>
      </c>
      <c r="D192" s="548">
        <f>L_CViec!AA357</f>
        <v>1</v>
      </c>
      <c r="E192" s="548" t="str">
        <f>L_CViec!AC357</f>
        <v>1KS2</v>
      </c>
      <c r="F192" s="548" t="str">
        <f>L_CViec!AD357</f>
        <v>1-3</v>
      </c>
      <c r="G192" s="548">
        <f>L_CViec!AE357</f>
        <v>0.1</v>
      </c>
      <c r="H192" s="704">
        <f>L_CViec!AF357</f>
        <v>0</v>
      </c>
      <c r="I192" s="704">
        <f>L_CViec!AG357</f>
        <v>0.1</v>
      </c>
      <c r="J192" s="550">
        <f>L_CViec!AH357</f>
        <v>296770.5</v>
      </c>
      <c r="K192" s="707">
        <f>G192*$J192*L_CBac!$G$68</f>
        <v>34128.607499999998</v>
      </c>
      <c r="L192" s="707">
        <f>H192*$J192*L_CBac!$G$68</f>
        <v>0</v>
      </c>
      <c r="M192" s="707">
        <f>I192*$J192*L_CBac!$G$68</f>
        <v>34128.607499999998</v>
      </c>
      <c r="N192" s="707">
        <f>$D192*G192*L_CBac!$J$68</f>
        <v>2556.4500000000003</v>
      </c>
      <c r="O192" s="707">
        <f>$D192*H192*L_CBac!$J$68</f>
        <v>0</v>
      </c>
      <c r="P192" s="707">
        <f>$D192*I192*L_CBac!$J$68</f>
        <v>2556.4500000000003</v>
      </c>
      <c r="Q192" s="707">
        <f>$D192*G192*L_CBac!$J$69</f>
        <v>2807.6923076923081</v>
      </c>
      <c r="R192" s="707">
        <f>$D192*H192*L_CBac!$J$69</f>
        <v>0</v>
      </c>
      <c r="S192" s="557">
        <f>$D192*I192*L_CBac!$J$69</f>
        <v>2807.6923076923081</v>
      </c>
    </row>
    <row r="193" spans="1:19" s="552" customFormat="1" ht="39.950000000000003" customHeight="1">
      <c r="A193" s="546" t="str">
        <f>L_CViec!A364</f>
        <v>12</v>
      </c>
      <c r="B193" s="559" t="str">
        <f>L_CViec!B364</f>
        <v>Nhập thông tin thửa đất, tài sản gắn liền với đất, đăng ký vào hồ sơ địa chính</v>
      </c>
      <c r="C193" s="548" t="str">
        <f>L_CViec!AB364</f>
        <v>Thửa</v>
      </c>
      <c r="D193" s="548">
        <f>L_CViec!AA364</f>
        <v>1</v>
      </c>
      <c r="E193" s="548" t="str">
        <f>L_CViec!AC364</f>
        <v>1KS3</v>
      </c>
      <c r="F193" s="548" t="str">
        <f>L_CViec!AD364</f>
        <v>1-3</v>
      </c>
      <c r="G193" s="548">
        <f>L_CViec!AE364</f>
        <v>0.107</v>
      </c>
      <c r="H193" s="704">
        <f>L_CViec!AF364</f>
        <v>3.3000000000000002E-2</v>
      </c>
      <c r="I193" s="704">
        <f>L_CViec!AG364</f>
        <v>0.16700000000000001</v>
      </c>
      <c r="J193" s="550">
        <f>L_CViec!AH364</f>
        <v>333450</v>
      </c>
      <c r="K193" s="705">
        <f>G193*$J193*L_CBac!$G$68</f>
        <v>41031.022499999999</v>
      </c>
      <c r="L193" s="705">
        <f>H193*$J193*L_CBac!$G$68</f>
        <v>12654.4275</v>
      </c>
      <c r="M193" s="705">
        <f>I193*$J193*L_CBac!$G$68</f>
        <v>64039.072499999995</v>
      </c>
      <c r="N193" s="705">
        <f>$D193*G193*L_CBac!$J$68</f>
        <v>2735.4014999999999</v>
      </c>
      <c r="O193" s="705">
        <f>$D193*H193*L_CBac!$J$68</f>
        <v>843.62850000000003</v>
      </c>
      <c r="P193" s="705">
        <f>$D193*I193*L_CBac!$J$68</f>
        <v>4269.2714999999998</v>
      </c>
      <c r="Q193" s="705">
        <f>$D193*G193*L_CBac!$J$69</f>
        <v>3004.2307692307695</v>
      </c>
      <c r="R193" s="705">
        <f>$D193*H193*L_CBac!$J$69</f>
        <v>926.53846153846166</v>
      </c>
      <c r="S193" s="551">
        <f>$D193*I193*L_CBac!$J$69</f>
        <v>4688.8461538461543</v>
      </c>
    </row>
    <row r="194" spans="1:19" s="552" customFormat="1" ht="24.95" customHeight="1">
      <c r="A194" s="546" t="str">
        <f>L_CViec!A365</f>
        <v>13</v>
      </c>
      <c r="B194" s="559" t="str">
        <f>L_CViec!B365</f>
        <v>In GCN</v>
      </c>
      <c r="C194" s="548">
        <f>L_CViec!AB365</f>
        <v>0</v>
      </c>
      <c r="D194" s="548">
        <f>L_CViec!AA365</f>
        <v>0</v>
      </c>
      <c r="E194" s="548">
        <f>L_CViec!AC365</f>
        <v>0</v>
      </c>
      <c r="F194" s="548">
        <f>L_CViec!AD365</f>
        <v>0</v>
      </c>
      <c r="G194" s="548">
        <f>L_CViec!AE365</f>
        <v>0</v>
      </c>
      <c r="H194" s="704">
        <f>L_CViec!AF365</f>
        <v>0</v>
      </c>
      <c r="I194" s="704">
        <f>L_CViec!AG365</f>
        <v>0</v>
      </c>
      <c r="J194" s="550">
        <f>L_CViec!AH365</f>
        <v>0</v>
      </c>
      <c r="K194" s="705"/>
      <c r="L194" s="705"/>
      <c r="M194" s="705"/>
      <c r="N194" s="705"/>
      <c r="O194" s="705"/>
      <c r="P194" s="705"/>
      <c r="Q194" s="705"/>
      <c r="R194" s="705"/>
      <c r="S194" s="551"/>
    </row>
    <row r="195" spans="1:19" s="552" customFormat="1" ht="24.95" customHeight="1">
      <c r="A195" s="546" t="str">
        <f>L_CViec!A366</f>
        <v>13.1</v>
      </c>
      <c r="B195" s="559" t="str">
        <f>L_CViec!B366</f>
        <v>Trực tiếp từ cơ sở dữ liệu dạng số</v>
      </c>
      <c r="C195" s="548" t="str">
        <f>L_CViec!AB366</f>
        <v>GCN</v>
      </c>
      <c r="D195" s="548">
        <f>L_CViec!AA366</f>
        <v>1</v>
      </c>
      <c r="E195" s="548" t="str">
        <f>L_CViec!AC366</f>
        <v>1KS2</v>
      </c>
      <c r="F195" s="548" t="str">
        <f>L_CViec!AD366</f>
        <v>1-3</v>
      </c>
      <c r="G195" s="548">
        <f>L_CViec!AE366</f>
        <v>0.1</v>
      </c>
      <c r="H195" s="704">
        <f>L_CViec!AF366</f>
        <v>0.1</v>
      </c>
      <c r="I195" s="704">
        <f>L_CViec!AG366</f>
        <v>0.1</v>
      </c>
      <c r="J195" s="550">
        <f>L_CViec!AH366</f>
        <v>296770.5</v>
      </c>
      <c r="K195" s="707">
        <f>G195*$J195*L_CBac!$G$68</f>
        <v>34128.607499999998</v>
      </c>
      <c r="L195" s="707">
        <f>H195*$J195*L_CBac!$G$68</f>
        <v>34128.607499999998</v>
      </c>
      <c r="M195" s="707">
        <f>I195*$J195*L_CBac!$G$68</f>
        <v>34128.607499999998</v>
      </c>
      <c r="N195" s="707">
        <f>$D195*G195*L_CBac!$J$68</f>
        <v>2556.4500000000003</v>
      </c>
      <c r="O195" s="707">
        <f>$D195*H195*L_CBac!$J$68</f>
        <v>2556.4500000000003</v>
      </c>
      <c r="P195" s="707">
        <f>$D195*I195*L_CBac!$J$68</f>
        <v>2556.4500000000003</v>
      </c>
      <c r="Q195" s="707">
        <f>$D195*G195*L_CBac!$J$69</f>
        <v>2807.6923076923081</v>
      </c>
      <c r="R195" s="707">
        <f>$D195*H195*L_CBac!$J$69</f>
        <v>2807.6923076923081</v>
      </c>
      <c r="S195" s="557">
        <f>$D195*I195*L_CBac!$J$69</f>
        <v>2807.6923076923081</v>
      </c>
    </row>
    <row r="196" spans="1:19" s="552" customFormat="1" ht="24.95" customHeight="1">
      <c r="A196" s="546" t="str">
        <f>L_CViec!A367</f>
        <v>13.2</v>
      </c>
      <c r="B196" s="559" t="str">
        <f>L_CViec!B367</f>
        <v>Đối với những nơi chưa có bản đồ dạng số</v>
      </c>
      <c r="C196" s="548" t="str">
        <f>L_CViec!AB367</f>
        <v>GCN</v>
      </c>
      <c r="D196" s="548">
        <f>L_CViec!AA367</f>
        <v>1</v>
      </c>
      <c r="E196" s="548" t="str">
        <f>L_CViec!AC367</f>
        <v>1KS2</v>
      </c>
      <c r="F196" s="548" t="str">
        <f>L_CViec!AD367</f>
        <v>1-3</v>
      </c>
      <c r="G196" s="548">
        <f>L_CViec!AE367</f>
        <v>0.15</v>
      </c>
      <c r="H196" s="704">
        <f>L_CViec!AF367</f>
        <v>0.2</v>
      </c>
      <c r="I196" s="704">
        <f>L_CViec!AG367</f>
        <v>0.2</v>
      </c>
      <c r="J196" s="550">
        <f>L_CViec!AH367</f>
        <v>296770.5</v>
      </c>
      <c r="K196" s="707">
        <f>G196*$J196*L_CBac!$G$68</f>
        <v>51192.91124999999</v>
      </c>
      <c r="L196" s="707">
        <f>H196*$J196*L_CBac!$G$68</f>
        <v>68257.214999999997</v>
      </c>
      <c r="M196" s="707">
        <f>I196*$J196*L_CBac!$G$68</f>
        <v>68257.214999999997</v>
      </c>
      <c r="N196" s="707">
        <f>$D196*G196*L_CBac!$J$68</f>
        <v>3834.6749999999997</v>
      </c>
      <c r="O196" s="707">
        <f>$D196*H196*L_CBac!$J$68</f>
        <v>5112.9000000000005</v>
      </c>
      <c r="P196" s="707">
        <f>$D196*I196*L_CBac!$J$68</f>
        <v>5112.9000000000005</v>
      </c>
      <c r="Q196" s="707">
        <f>$D196*G196*L_CBac!$J$69</f>
        <v>4211.5384615384619</v>
      </c>
      <c r="R196" s="707">
        <f>$D196*H196*L_CBac!$J$69</f>
        <v>5615.3846153846162</v>
      </c>
      <c r="S196" s="557">
        <f>$D196*I196*L_CBac!$J$69</f>
        <v>5615.3846153846162</v>
      </c>
    </row>
    <row r="197" spans="1:19" s="552" customFormat="1" ht="87.75" customHeight="1">
      <c r="A197" s="546" t="str">
        <f>L_CViec!A368</f>
        <v>14</v>
      </c>
      <c r="B197" s="559" t="str">
        <f>L_CViec!B368</f>
        <v>Trích sao số liệu địa chính, quyết định hủy GCN bị mất, cấp đổi, cấp lại GCN, lập sổ theo dõi hồ sơ</v>
      </c>
      <c r="C197" s="548" t="str">
        <f>L_CViec!AB368</f>
        <v>Hồ sơ</v>
      </c>
      <c r="D197" s="548">
        <f>L_CViec!AA368</f>
        <v>1</v>
      </c>
      <c r="E197" s="548" t="str">
        <f>L_CViec!AC368</f>
        <v>1KS3</v>
      </c>
      <c r="F197" s="548" t="str">
        <f>L_CViec!AD368</f>
        <v>1-3</v>
      </c>
      <c r="G197" s="548">
        <f>L_CViec!AE368</f>
        <v>0.5</v>
      </c>
      <c r="H197" s="704">
        <f>L_CViec!AF368</f>
        <v>0.5</v>
      </c>
      <c r="I197" s="704">
        <f>L_CViec!AG368</f>
        <v>0.65</v>
      </c>
      <c r="J197" s="550">
        <f>L_CViec!AH368</f>
        <v>333450</v>
      </c>
      <c r="K197" s="705">
        <f>G197*$J197*L_CBac!$G$68</f>
        <v>191733.74999999997</v>
      </c>
      <c r="L197" s="705">
        <f>H197*$J197*L_CBac!$G$68</f>
        <v>191733.74999999997</v>
      </c>
      <c r="M197" s="705">
        <f>I197*$J197*L_CBac!$G$68</f>
        <v>249253.87499999997</v>
      </c>
      <c r="N197" s="705">
        <f>$D197*G197*L_CBac!$J$68</f>
        <v>12782.25</v>
      </c>
      <c r="O197" s="705">
        <f>$D197*H197*L_CBac!$J$68</f>
        <v>12782.25</v>
      </c>
      <c r="P197" s="705">
        <f>$D197*I197*L_CBac!$J$68</f>
        <v>16616.924999999999</v>
      </c>
      <c r="Q197" s="705">
        <f>$D197*G197*L_CBac!$J$69</f>
        <v>14038.461538461539</v>
      </c>
      <c r="R197" s="705">
        <f>$D197*H197*L_CBac!$J$69</f>
        <v>14038.461538461539</v>
      </c>
      <c r="S197" s="551">
        <f>$D197*I197*L_CBac!$J$69</f>
        <v>18250</v>
      </c>
    </row>
    <row r="198" spans="1:19" s="552" customFormat="1" ht="75" customHeight="1">
      <c r="A198" s="546" t="str">
        <f>L_CViec!A369</f>
        <v>15</v>
      </c>
      <c r="B198" s="559" t="str">
        <f>L_CViec!B369</f>
        <v>Cập nhật chỉnh lý HSĐC, thu phí, lệ phí, nộp kho bạc; gửi thông báo biến động cho cấp xã, phường</v>
      </c>
      <c r="C198" s="548" t="str">
        <f>L_CViec!AB369</f>
        <v>Hồ sơ</v>
      </c>
      <c r="D198" s="548">
        <f>L_CViec!AA369</f>
        <v>1</v>
      </c>
      <c r="E198" s="548" t="str">
        <f>L_CViec!AC369</f>
        <v>1KS3</v>
      </c>
      <c r="F198" s="548" t="str">
        <f>L_CViec!AD369</f>
        <v>1-3</v>
      </c>
      <c r="G198" s="548">
        <f>L_CViec!AE369</f>
        <v>0.47</v>
      </c>
      <c r="H198" s="704">
        <f>L_CViec!AF369</f>
        <v>0.47</v>
      </c>
      <c r="I198" s="704">
        <f>L_CViec!AG369</f>
        <v>0.61099999999999999</v>
      </c>
      <c r="J198" s="550">
        <f>L_CViec!AH369</f>
        <v>333450</v>
      </c>
      <c r="K198" s="705">
        <f>G198*$J198*L_CBac!$G$68</f>
        <v>180229.72499999998</v>
      </c>
      <c r="L198" s="705">
        <f>H198*$J198*L_CBac!$G$68</f>
        <v>180229.72499999998</v>
      </c>
      <c r="M198" s="705">
        <f>I198*$J198*L_CBac!$G$68</f>
        <v>234298.64249999996</v>
      </c>
      <c r="N198" s="705">
        <f>$D198*G198*L_CBac!$J$68</f>
        <v>12015.314999999999</v>
      </c>
      <c r="O198" s="705">
        <f>$D198*H198*L_CBac!$J$68</f>
        <v>12015.314999999999</v>
      </c>
      <c r="P198" s="705">
        <f>$D198*I198*L_CBac!$J$68</f>
        <v>15619.9095</v>
      </c>
      <c r="Q198" s="705">
        <f>$D198*G198*L_CBac!$J$69</f>
        <v>13196.153846153846</v>
      </c>
      <c r="R198" s="705">
        <f>$D198*H198*L_CBac!$J$69</f>
        <v>13196.153846153846</v>
      </c>
      <c r="S198" s="551">
        <f>$D198*I198*L_CBac!$J$69</f>
        <v>17155</v>
      </c>
    </row>
    <row r="199" spans="1:19" s="552" customFormat="1" ht="24.95" customHeight="1">
      <c r="A199" s="546" t="e">
        <f>L_CViec!#REF!</f>
        <v>#REF!</v>
      </c>
      <c r="B199" s="559" t="e">
        <f>L_CViec!#REF!</f>
        <v>#REF!</v>
      </c>
      <c r="C199" s="548" t="e">
        <f>L_CViec!#REF!</f>
        <v>#REF!</v>
      </c>
      <c r="D199" s="548" t="e">
        <f>L_CViec!#REF!</f>
        <v>#REF!</v>
      </c>
      <c r="E199" s="548" t="e">
        <f>L_CViec!#REF!</f>
        <v>#REF!</v>
      </c>
      <c r="F199" s="548" t="e">
        <f>L_CViec!#REF!</f>
        <v>#REF!</v>
      </c>
      <c r="G199" s="548" t="e">
        <f>L_CViec!#REF!</f>
        <v>#REF!</v>
      </c>
      <c r="H199" s="704" t="e">
        <f>L_CViec!#REF!</f>
        <v>#REF!</v>
      </c>
      <c r="I199" s="704" t="e">
        <f>L_CViec!#REF!</f>
        <v>#REF!</v>
      </c>
      <c r="J199" s="550" t="e">
        <f>L_CViec!#REF!</f>
        <v>#REF!</v>
      </c>
      <c r="K199" s="705">
        <f>K200+K203+K204</f>
        <v>25722.999899999999</v>
      </c>
      <c r="L199" s="705">
        <f t="shared" ref="L199:S199" si="23">L200+L203+L204</f>
        <v>25722.999899999999</v>
      </c>
      <c r="M199" s="705">
        <f t="shared" si="23"/>
        <v>25722.999899999999</v>
      </c>
      <c r="N199" s="705">
        <f t="shared" si="23"/>
        <v>971.45100000000002</v>
      </c>
      <c r="O199" s="705">
        <f t="shared" si="23"/>
        <v>971.45100000000002</v>
      </c>
      <c r="P199" s="705">
        <f t="shared" si="23"/>
        <v>971.45100000000002</v>
      </c>
      <c r="Q199" s="705">
        <f t="shared" si="23"/>
        <v>1066.9230769230769</v>
      </c>
      <c r="R199" s="705">
        <f t="shared" si="23"/>
        <v>1066.9230769230769</v>
      </c>
      <c r="S199" s="551">
        <f t="shared" si="23"/>
        <v>1066.9230769230769</v>
      </c>
    </row>
    <row r="200" spans="1:19" s="552" customFormat="1" ht="51" customHeight="1">
      <c r="A200" s="546" t="str">
        <f>L_CViec!A370</f>
        <v>16</v>
      </c>
      <c r="B200" s="559" t="str">
        <f>L_CViec!B370</f>
        <v>Quét giấy tờ pháp lý về quyền sử dụng đất, quyền sở hữu nhà ở và tài sản khác gắn liền với đất</v>
      </c>
      <c r="C200" s="548">
        <f>L_CViec!AB370</f>
        <v>0</v>
      </c>
      <c r="D200" s="548">
        <f>L_CViec!AA370</f>
        <v>0</v>
      </c>
      <c r="E200" s="548">
        <f>L_CViec!AC370</f>
        <v>0</v>
      </c>
      <c r="F200" s="548">
        <f>L_CViec!AD370</f>
        <v>0</v>
      </c>
      <c r="G200" s="548">
        <f>L_CViec!AE370</f>
        <v>0</v>
      </c>
      <c r="H200" s="704">
        <f>L_CViec!AF370</f>
        <v>0</v>
      </c>
      <c r="I200" s="704">
        <f>L_CViec!AG370</f>
        <v>0</v>
      </c>
      <c r="J200" s="550">
        <f>L_CViec!AH370</f>
        <v>0</v>
      </c>
      <c r="K200" s="705">
        <f t="shared" ref="K200:S200" si="24">SUM(K201:K202)</f>
        <v>16749.860399999998</v>
      </c>
      <c r="L200" s="705">
        <f t="shared" si="24"/>
        <v>16749.860399999998</v>
      </c>
      <c r="M200" s="705">
        <f t="shared" si="24"/>
        <v>16749.860399999998</v>
      </c>
      <c r="N200" s="705">
        <f t="shared" si="24"/>
        <v>613.548</v>
      </c>
      <c r="O200" s="705">
        <f t="shared" si="24"/>
        <v>613.548</v>
      </c>
      <c r="P200" s="705">
        <f t="shared" si="24"/>
        <v>613.548</v>
      </c>
      <c r="Q200" s="705">
        <f t="shared" si="24"/>
        <v>673.84615384615392</v>
      </c>
      <c r="R200" s="705">
        <f t="shared" si="24"/>
        <v>673.84615384615392</v>
      </c>
      <c r="S200" s="551">
        <f t="shared" si="24"/>
        <v>673.84615384615392</v>
      </c>
    </row>
    <row r="201" spans="1:19" s="552" customFormat="1" ht="24.95" customHeight="1">
      <c r="A201" s="546" t="str">
        <f>L_CViec!A371</f>
        <v>16.1</v>
      </c>
      <c r="B201" s="559" t="str">
        <f>L_CViec!B371</f>
        <v>Quét trang A3</v>
      </c>
      <c r="C201" s="548" t="str">
        <f>L_CViec!AB371</f>
        <v>Trang</v>
      </c>
      <c r="D201" s="548">
        <f>L_CViec!AA371</f>
        <v>1</v>
      </c>
      <c r="E201" s="548" t="str">
        <f>L_CViec!AC371</f>
        <v>1KS1</v>
      </c>
      <c r="F201" s="548" t="str">
        <f>L_CViec!AD371</f>
        <v>1-3</v>
      </c>
      <c r="G201" s="548">
        <f>L_CViec!AE371</f>
        <v>1.6E-2</v>
      </c>
      <c r="H201" s="704">
        <f>L_CViec!AF371</f>
        <v>1.6E-2</v>
      </c>
      <c r="I201" s="704">
        <f>L_CViec!AG371</f>
        <v>1.6E-2</v>
      </c>
      <c r="J201" s="550">
        <f>L_CViec!AH371</f>
        <v>260091</v>
      </c>
      <c r="K201" s="707">
        <f>G201*$J201*L_CBac!$G$68*2</f>
        <v>9571.3487999999998</v>
      </c>
      <c r="L201" s="707">
        <f>H201*$J201*L_CBac!$G$68*2</f>
        <v>9571.3487999999998</v>
      </c>
      <c r="M201" s="707">
        <f>I201*$J201*L_CBac!$G$68*2</f>
        <v>9571.3487999999998</v>
      </c>
      <c r="N201" s="707">
        <f>$D201*G201*L_CBac!$J$68</f>
        <v>409.03199999999998</v>
      </c>
      <c r="O201" s="707">
        <f>$D201*H201*L_CBac!$J$68</f>
        <v>409.03199999999998</v>
      </c>
      <c r="P201" s="707">
        <f>$D201*I201*L_CBac!$J$68</f>
        <v>409.03199999999998</v>
      </c>
      <c r="Q201" s="556">
        <f>$D201*G201*L_CBac!$J$69</f>
        <v>449.23076923076928</v>
      </c>
      <c r="R201" s="556">
        <f>$D201*H201*L_CBac!$J$69</f>
        <v>449.23076923076928</v>
      </c>
      <c r="S201" s="557">
        <f>$D201*I201*L_CBac!$J$69</f>
        <v>449.23076923076928</v>
      </c>
    </row>
    <row r="202" spans="1:19" s="552" customFormat="1" ht="24.95" customHeight="1">
      <c r="A202" s="546" t="str">
        <f>L_CViec!A372</f>
        <v>16.2</v>
      </c>
      <c r="B202" s="559" t="str">
        <f>L_CViec!B372</f>
        <v>Quét trang A4</v>
      </c>
      <c r="C202" s="548" t="str">
        <f>L_CViec!AB372</f>
        <v>Trang</v>
      </c>
      <c r="D202" s="548">
        <f>L_CViec!AA372</f>
        <v>1</v>
      </c>
      <c r="E202" s="548" t="str">
        <f>L_CViec!AC372</f>
        <v>1KS1</v>
      </c>
      <c r="F202" s="548" t="str">
        <f>L_CViec!AD372</f>
        <v>1-3</v>
      </c>
      <c r="G202" s="548">
        <f>L_CViec!AE372</f>
        <v>8.0000000000000002E-3</v>
      </c>
      <c r="H202" s="704">
        <f>L_CViec!AF372</f>
        <v>8.0000000000000002E-3</v>
      </c>
      <c r="I202" s="704">
        <f>L_CViec!AG372</f>
        <v>8.0000000000000002E-3</v>
      </c>
      <c r="J202" s="550">
        <f>L_CViec!AH372</f>
        <v>260091</v>
      </c>
      <c r="K202" s="707">
        <f>G202*$J202*L_CBac!$G$68*3</f>
        <v>7178.5115999999998</v>
      </c>
      <c r="L202" s="707">
        <f>H202*$J202*L_CBac!$G$68*3</f>
        <v>7178.5115999999998</v>
      </c>
      <c r="M202" s="707">
        <f>I202*$J202*L_CBac!$G$68*3</f>
        <v>7178.5115999999998</v>
      </c>
      <c r="N202" s="707">
        <f>$D202*G202*L_CBac!$J$68</f>
        <v>204.51599999999999</v>
      </c>
      <c r="O202" s="707">
        <f>$D202*H202*L_CBac!$J$68</f>
        <v>204.51599999999999</v>
      </c>
      <c r="P202" s="707">
        <f>$D202*I202*L_CBac!$J$68</f>
        <v>204.51599999999999</v>
      </c>
      <c r="Q202" s="556">
        <f>$D202*G202*L_CBac!$J$69</f>
        <v>224.61538461538464</v>
      </c>
      <c r="R202" s="556">
        <f>$D202*H202*L_CBac!$J$69</f>
        <v>224.61538461538464</v>
      </c>
      <c r="S202" s="557">
        <f>$D202*I202*L_CBac!$J$69</f>
        <v>224.61538461538464</v>
      </c>
    </row>
    <row r="203" spans="1:19" s="552" customFormat="1" ht="51" customHeight="1">
      <c r="A203" s="546" t="str">
        <f>L_CViec!A373</f>
        <v>17</v>
      </c>
      <c r="B203" s="559" t="str">
        <f>L_CViec!B373</f>
        <v>Xử lý các tệp tin quét thành tệp (File) hồ sơ quét dạng số của thửa đất, lưu trữ dưới khuôn dạng tệp tin PDF</v>
      </c>
      <c r="C203" s="548" t="str">
        <f>L_CViec!AB373</f>
        <v>Trang</v>
      </c>
      <c r="D203" s="548">
        <f>L_CViec!AA373</f>
        <v>1</v>
      </c>
      <c r="E203" s="548" t="str">
        <f>L_CViec!AC373</f>
        <v>1KS1</v>
      </c>
      <c r="F203" s="548" t="str">
        <f>L_CViec!AD373</f>
        <v>1-3</v>
      </c>
      <c r="G203" s="548">
        <f>L_CViec!AE373</f>
        <v>4.0000000000000001E-3</v>
      </c>
      <c r="H203" s="704">
        <f>L_CViec!AF373</f>
        <v>4.0000000000000001E-3</v>
      </c>
      <c r="I203" s="704">
        <f>L_CViec!AG373</f>
        <v>4.0000000000000001E-3</v>
      </c>
      <c r="J203" s="550">
        <f>L_CViec!AH373</f>
        <v>260091</v>
      </c>
      <c r="K203" s="707">
        <f>G203*$J203*L_CBac!$G$68*5</f>
        <v>5982.0929999999998</v>
      </c>
      <c r="L203" s="707">
        <f>H203*$J203*L_CBac!$G$68*5</f>
        <v>5982.0929999999998</v>
      </c>
      <c r="M203" s="707">
        <f>I203*$J203*L_CBac!$G$68*5</f>
        <v>5982.0929999999998</v>
      </c>
      <c r="N203" s="707">
        <f>$D203*G203*L_CBac!$J$68</f>
        <v>102.258</v>
      </c>
      <c r="O203" s="707">
        <f>$D203*H203*L_CBac!$J$68</f>
        <v>102.258</v>
      </c>
      <c r="P203" s="707">
        <f>$D203*I203*L_CBac!$J$68</f>
        <v>102.258</v>
      </c>
      <c r="Q203" s="556">
        <f>$D203*G203*L_CBac!$J$69</f>
        <v>112.30769230769232</v>
      </c>
      <c r="R203" s="556">
        <f>$D203*H203*L_CBac!$J$69</f>
        <v>112.30769230769232</v>
      </c>
      <c r="S203" s="557">
        <f>$D203*I203*L_CBac!$J$69</f>
        <v>112.30769230769232</v>
      </c>
    </row>
    <row r="204" spans="1:19" s="552" customFormat="1" ht="39.950000000000003" customHeight="1">
      <c r="A204" s="546" t="str">
        <f>L_CViec!A374</f>
        <v>18</v>
      </c>
      <c r="B204" s="559" t="str">
        <f>L_CViec!B374</f>
        <v>Tạo liên kết hồ sơ quét dạng số với thửa đất trong cơ sở dữ liệu</v>
      </c>
      <c r="C204" s="548" t="str">
        <f>L_CViec!AB374</f>
        <v>Thửa</v>
      </c>
      <c r="D204" s="548">
        <f>L_CViec!AA374</f>
        <v>1</v>
      </c>
      <c r="E204" s="548" t="str">
        <f>L_CViec!AC374</f>
        <v>1KS1</v>
      </c>
      <c r="F204" s="548" t="str">
        <f>L_CViec!AD374</f>
        <v>1-3</v>
      </c>
      <c r="G204" s="548">
        <f>L_CViec!AE374</f>
        <v>0.01</v>
      </c>
      <c r="H204" s="704">
        <f>L_CViec!AF374</f>
        <v>0.01</v>
      </c>
      <c r="I204" s="704">
        <f>L_CViec!AG374</f>
        <v>0.01</v>
      </c>
      <c r="J204" s="550">
        <f>L_CViec!AH374</f>
        <v>260091</v>
      </c>
      <c r="K204" s="705">
        <f>G204*$J204*L_CBac!$G$68</f>
        <v>2991.0464999999995</v>
      </c>
      <c r="L204" s="705">
        <f>H204*$J204*L_CBac!$G$68</f>
        <v>2991.0464999999995</v>
      </c>
      <c r="M204" s="705">
        <f>I204*$J204*L_CBac!$G$68</f>
        <v>2991.0464999999995</v>
      </c>
      <c r="N204" s="705">
        <f>$D204*G204*L_CBac!$J$68</f>
        <v>255.64500000000001</v>
      </c>
      <c r="O204" s="705">
        <f>$D204*H204*L_CBac!$J$68</f>
        <v>255.64500000000001</v>
      </c>
      <c r="P204" s="705">
        <f>$D204*I204*L_CBac!$J$68</f>
        <v>255.64500000000001</v>
      </c>
      <c r="Q204" s="705">
        <f>$D204*G204*L_CBac!$J$69</f>
        <v>280.76923076923077</v>
      </c>
      <c r="R204" s="705">
        <f>$D204*H204*L_CBac!$J$69</f>
        <v>280.76923076923077</v>
      </c>
      <c r="S204" s="551">
        <f>$D204*I204*L_CBac!$J$69</f>
        <v>280.76923076923077</v>
      </c>
    </row>
    <row r="205" spans="1:19" s="552" customFormat="1" ht="95.25" customHeight="1">
      <c r="A205" s="546" t="str">
        <f>L_CViec!A375</f>
        <v>19</v>
      </c>
      <c r="B205" s="559" t="str">
        <f>L_CViec!B375</f>
        <v>Thông báo danh sách các trường hợp làm thủ tục cấp đổi GCN cho bên nhận thế chấp quyền sử dụng đất, tài sản gắn liền với đất; xác nhận việc đăng ký thế chấp vào GCN sau khi được cơ quan có thẩm quyền ký cấp đổi</v>
      </c>
      <c r="C205" s="548" t="str">
        <f>L_CViec!AB375</f>
        <v>Hồ sơ</v>
      </c>
      <c r="D205" s="548">
        <f>L_CViec!AA375</f>
        <v>1</v>
      </c>
      <c r="E205" s="548" t="str">
        <f>L_CViec!AC375</f>
        <v>1KS2</v>
      </c>
      <c r="F205" s="548" t="str">
        <f>L_CViec!AD375</f>
        <v>1-3</v>
      </c>
      <c r="G205" s="548">
        <f>L_CViec!AE375</f>
        <v>0.05</v>
      </c>
      <c r="H205" s="704">
        <f>L_CViec!AF375</f>
        <v>0.05</v>
      </c>
      <c r="I205" s="704">
        <f>L_CViec!AG375</f>
        <v>6.5000000000000002E-2</v>
      </c>
      <c r="J205" s="550">
        <f>L_CViec!AH375</f>
        <v>296770.5</v>
      </c>
      <c r="K205" s="705">
        <f>G205*$J205*L_CBac!$G$68</f>
        <v>17064.303749999999</v>
      </c>
      <c r="L205" s="705">
        <f>H205*$J205*L_CBac!$G$68</f>
        <v>17064.303749999999</v>
      </c>
      <c r="M205" s="705">
        <f>I205*$J205*L_CBac!$G$68</f>
        <v>22183.594874999999</v>
      </c>
      <c r="N205" s="705">
        <f>$D205*G205*L_CBac!$J$68</f>
        <v>1278.2250000000001</v>
      </c>
      <c r="O205" s="705">
        <f>$D205*H205*L_CBac!$J$68</f>
        <v>1278.2250000000001</v>
      </c>
      <c r="P205" s="705">
        <f>$D205*I205*L_CBac!$J$68</f>
        <v>1661.6925000000001</v>
      </c>
      <c r="Q205" s="705">
        <f>$D205*G205*L_CBac!$J$69</f>
        <v>1403.846153846154</v>
      </c>
      <c r="R205" s="705">
        <f>$D205*H205*L_CBac!$J$69</f>
        <v>1403.846153846154</v>
      </c>
      <c r="S205" s="551">
        <f>$D205*I205*L_CBac!$J$69</f>
        <v>1825.0000000000002</v>
      </c>
    </row>
    <row r="206" spans="1:19" s="552" customFormat="1" ht="54" customHeight="1">
      <c r="A206" s="683" t="str">
        <f>L_CViec!A376</f>
        <v>20</v>
      </c>
      <c r="B206" s="684" t="str">
        <f>L_CViec!B376</f>
        <v>Chuyển Giấy chứng nhận đến Bộ phận một cửa để trao cho người sử dụng đất hoặc chuyển Giấy chứng nhận cho người sử dụng đất thông qua dịch vụ bưu chính công ích hoặc Văn phòng đăng ký đất đai nhận lại GCN cũ đang thế chấp từ tổ chức tín dụng và trao GCN mới</v>
      </c>
      <c r="C206" s="685" t="str">
        <f>L_CViec!AB376</f>
        <v>Hồ sơ</v>
      </c>
      <c r="D206" s="685">
        <f>L_CViec!AA376</f>
        <v>1</v>
      </c>
      <c r="E206" s="685" t="str">
        <f>L_CViec!AC376</f>
        <v>1KS2</v>
      </c>
      <c r="F206" s="685" t="str">
        <f>L_CViec!AD376</f>
        <v>1-3</v>
      </c>
      <c r="G206" s="685">
        <f>L_CViec!AE376</f>
        <v>0.05</v>
      </c>
      <c r="H206" s="814">
        <f>L_CViec!AF376</f>
        <v>0.05</v>
      </c>
      <c r="I206" s="814">
        <f>L_CViec!AG376</f>
        <v>6.5000000000000002E-2</v>
      </c>
      <c r="J206" s="686">
        <f>L_CViec!AH376</f>
        <v>296770.5</v>
      </c>
      <c r="K206" s="815">
        <f>G206*$J206*L_CBac!$G$68</f>
        <v>17064.303749999999</v>
      </c>
      <c r="L206" s="815">
        <f>H206*$J206*L_CBac!$G$68</f>
        <v>17064.303749999999</v>
      </c>
      <c r="M206" s="815">
        <f>I206*$J206*L_CBac!$G$68</f>
        <v>22183.594874999999</v>
      </c>
      <c r="N206" s="815">
        <f>$D206*G206*L_CBac!$J$68</f>
        <v>1278.2250000000001</v>
      </c>
      <c r="O206" s="815">
        <f>$D206*H206*L_CBac!$J$68</f>
        <v>1278.2250000000001</v>
      </c>
      <c r="P206" s="815">
        <f>$D206*I206*L_CBac!$J$68</f>
        <v>1661.6925000000001</v>
      </c>
      <c r="Q206" s="815">
        <f>$D206*G206*L_CBac!$J$69</f>
        <v>1403.846153846154</v>
      </c>
      <c r="R206" s="815">
        <f>$D206*H206*L_CBac!$J$69</f>
        <v>1403.846153846154</v>
      </c>
      <c r="S206" s="816">
        <f>$D206*I206*L_CBac!$J$69</f>
        <v>1825.0000000000002</v>
      </c>
    </row>
    <row r="207" spans="1:19" s="552" customFormat="1" ht="39.950000000000003" customHeight="1">
      <c r="A207" s="650" t="e">
        <f>L_CViec!#REF!</f>
        <v>#REF!</v>
      </c>
      <c r="B207" s="1750" t="e">
        <f>L_CViec!#REF!</f>
        <v>#REF!</v>
      </c>
      <c r="C207" s="1751" t="e">
        <f>L_CViec!#REF!</f>
        <v>#REF!</v>
      </c>
      <c r="D207" s="1752" t="e">
        <f>L_CViec!#REF!</f>
        <v>#REF!</v>
      </c>
      <c r="E207" s="629" t="e">
        <f>L_CViec!#REF!</f>
        <v>#REF!</v>
      </c>
      <c r="F207" s="629" t="e">
        <f>L_CViec!#REF!</f>
        <v>#REF!</v>
      </c>
      <c r="G207" s="628" t="e">
        <f>L_CViec!#REF!</f>
        <v>#REF!</v>
      </c>
      <c r="H207" s="630" t="e">
        <f>L_CViec!#REF!</f>
        <v>#REF!</v>
      </c>
      <c r="I207" s="630" t="e">
        <f>L_CViec!#REF!</f>
        <v>#REF!</v>
      </c>
      <c r="J207" s="630" t="e">
        <f>L_CViec!#REF!</f>
        <v>#REF!</v>
      </c>
      <c r="K207" s="703" t="e">
        <f>K208</f>
        <v>#REF!</v>
      </c>
      <c r="L207" s="703" t="e">
        <f t="shared" ref="L207:S207" si="25">L208</f>
        <v>#REF!</v>
      </c>
      <c r="M207" s="703" t="e">
        <f t="shared" si="25"/>
        <v>#REF!</v>
      </c>
      <c r="N207" s="703" t="e">
        <f t="shared" si="25"/>
        <v>#REF!</v>
      </c>
      <c r="O207" s="703" t="e">
        <f t="shared" si="25"/>
        <v>#REF!</v>
      </c>
      <c r="P207" s="703" t="e">
        <f t="shared" si="25"/>
        <v>#REF!</v>
      </c>
      <c r="Q207" s="703" t="e">
        <f t="shared" si="25"/>
        <v>#REF!</v>
      </c>
      <c r="R207" s="703" t="e">
        <f t="shared" si="25"/>
        <v>#REF!</v>
      </c>
      <c r="S207" s="538" t="e">
        <f t="shared" si="25"/>
        <v>#REF!</v>
      </c>
    </row>
    <row r="208" spans="1:19" s="552" customFormat="1" ht="39.950000000000003" customHeight="1">
      <c r="A208" s="683" t="e">
        <f>L_CViec!#REF!</f>
        <v>#REF!</v>
      </c>
      <c r="B208" s="684" t="e">
        <f>L_CViec!#REF!</f>
        <v>#REF!</v>
      </c>
      <c r="C208" s="685" t="e">
        <f>L_CViec!#REF!</f>
        <v>#REF!</v>
      </c>
      <c r="D208" s="685" t="e">
        <f>L_CViec!#REF!</f>
        <v>#REF!</v>
      </c>
      <c r="E208" s="685" t="e">
        <f>L_CViec!#REF!</f>
        <v>#REF!</v>
      </c>
      <c r="F208" s="685" t="e">
        <f>L_CViec!#REF!</f>
        <v>#REF!</v>
      </c>
      <c r="G208" s="685" t="e">
        <f>L_CViec!#REF!</f>
        <v>#REF!</v>
      </c>
      <c r="H208" s="814" t="e">
        <f>L_CViec!#REF!</f>
        <v>#REF!</v>
      </c>
      <c r="I208" s="814" t="e">
        <f>L_CViec!#REF!</f>
        <v>#REF!</v>
      </c>
      <c r="J208" s="686" t="e">
        <f>L_CViec!#REF!</f>
        <v>#REF!</v>
      </c>
      <c r="K208" s="815" t="e">
        <f>G208*$J208*L_CBac!$G$68</f>
        <v>#REF!</v>
      </c>
      <c r="L208" s="815" t="e">
        <f>H208*$J208*L_CBac!$G$68</f>
        <v>#REF!</v>
      </c>
      <c r="M208" s="815" t="e">
        <f>I208*$J208*L_CBac!$G$68</f>
        <v>#REF!</v>
      </c>
      <c r="N208" s="815" t="e">
        <f>$D208*G208*L_CBac!$J$68</f>
        <v>#REF!</v>
      </c>
      <c r="O208" s="815" t="e">
        <f>$D208*H208*L_CBac!$J$68</f>
        <v>#REF!</v>
      </c>
      <c r="P208" s="815" t="e">
        <f>$D208*I208*L_CBac!$J$68</f>
        <v>#REF!</v>
      </c>
      <c r="Q208" s="815" t="e">
        <f>$D208*G208*L_CBac!$J$69</f>
        <v>#REF!</v>
      </c>
      <c r="R208" s="815" t="e">
        <f>$D208*H208*L_CBac!$J$69</f>
        <v>#REF!</v>
      </c>
      <c r="S208" s="816" t="e">
        <f>$D208*I208*L_CBac!$J$69</f>
        <v>#REF!</v>
      </c>
    </row>
    <row r="209" spans="1:19" s="552" customFormat="1" ht="39.950000000000003" customHeight="1">
      <c r="A209" s="650" t="str">
        <f>L_CViec!A377</f>
        <v>VI.2</v>
      </c>
      <c r="B209" s="1750" t="str">
        <f>L_CViec!B377</f>
        <v>CÁC NỘI DUNG THỰC HIỆN TẠI ĐỊA BÀN XÃ, PHƯỜNG</v>
      </c>
      <c r="C209" s="1751">
        <f>L_CViec!AB377</f>
        <v>0</v>
      </c>
      <c r="D209" s="1752">
        <f>L_CViec!AA377</f>
        <v>0</v>
      </c>
      <c r="E209" s="629">
        <f>L_CViec!AC377</f>
        <v>0</v>
      </c>
      <c r="F209" s="629">
        <f>L_CViec!AD377</f>
        <v>0</v>
      </c>
      <c r="G209" s="628">
        <f>L_CViec!AE377</f>
        <v>0</v>
      </c>
      <c r="H209" s="630">
        <f>L_CViec!AF377</f>
        <v>0</v>
      </c>
      <c r="I209" s="630">
        <f>L_CViec!AG377</f>
        <v>0</v>
      </c>
      <c r="J209" s="630">
        <f>L_CViec!AH377</f>
        <v>0</v>
      </c>
      <c r="K209" s="703">
        <f>K210</f>
        <v>6825.7214999999997</v>
      </c>
      <c r="L209" s="703">
        <f t="shared" ref="L209:S209" si="26">L210</f>
        <v>6825.7214999999997</v>
      </c>
      <c r="M209" s="703">
        <f t="shared" si="26"/>
        <v>8873.4379499999995</v>
      </c>
      <c r="N209" s="703">
        <f t="shared" si="26"/>
        <v>511.29</v>
      </c>
      <c r="O209" s="703">
        <f t="shared" si="26"/>
        <v>511.29</v>
      </c>
      <c r="P209" s="703">
        <f t="shared" si="26"/>
        <v>664.67700000000002</v>
      </c>
      <c r="Q209" s="703">
        <f t="shared" si="26"/>
        <v>561.53846153846155</v>
      </c>
      <c r="R209" s="703">
        <f t="shared" si="26"/>
        <v>561.53846153846155</v>
      </c>
      <c r="S209" s="538">
        <f t="shared" si="26"/>
        <v>730</v>
      </c>
    </row>
    <row r="210" spans="1:19" s="552" customFormat="1" ht="45.75" customHeight="1">
      <c r="A210" s="683" t="str">
        <f>L_CViec!A378</f>
        <v>1</v>
      </c>
      <c r="B210" s="684" t="str">
        <f>L_CViec!B378</f>
        <v>UBND xã, phường nhận thông báo biến động, chỉnh lý vào HSĐC</v>
      </c>
      <c r="C210" s="685" t="str">
        <f>L_CViec!AB378</f>
        <v>Hồ sơ</v>
      </c>
      <c r="D210" s="685">
        <f>L_CViec!AA378</f>
        <v>1</v>
      </c>
      <c r="E210" s="685" t="str">
        <f>L_CViec!AC378</f>
        <v>1KS2</v>
      </c>
      <c r="F210" s="685" t="str">
        <f>L_CViec!AD378</f>
        <v>1-3</v>
      </c>
      <c r="G210" s="685">
        <f>L_CViec!AE378</f>
        <v>0.02</v>
      </c>
      <c r="H210" s="814">
        <f>L_CViec!AF378</f>
        <v>0.02</v>
      </c>
      <c r="I210" s="814">
        <f>L_CViec!AG378</f>
        <v>2.5999999999999999E-2</v>
      </c>
      <c r="J210" s="686">
        <f>L_CViec!AH378</f>
        <v>296770.5</v>
      </c>
      <c r="K210" s="815">
        <f>G210*$J210*L_CBac!$G$68</f>
        <v>6825.7214999999997</v>
      </c>
      <c r="L210" s="815">
        <f>H210*$J210*L_CBac!$G$68</f>
        <v>6825.7214999999997</v>
      </c>
      <c r="M210" s="815">
        <f>I210*$J210*L_CBac!$G$68</f>
        <v>8873.4379499999995</v>
      </c>
      <c r="N210" s="815">
        <f>$D210*G210*L_CBac!$J$68</f>
        <v>511.29</v>
      </c>
      <c r="O210" s="815">
        <f>$D210*H210*L_CBac!$J$68</f>
        <v>511.29</v>
      </c>
      <c r="P210" s="815">
        <f>$D210*I210*L_CBac!$J$68</f>
        <v>664.67700000000002</v>
      </c>
      <c r="Q210" s="815">
        <f>$D210*G210*L_CBac!$J$69</f>
        <v>561.53846153846155</v>
      </c>
      <c r="R210" s="815">
        <f>$D210*H210*L_CBac!$J$69</f>
        <v>561.53846153846155</v>
      </c>
      <c r="S210" s="816">
        <f>$D210*I210*L_CBac!$J$69</f>
        <v>730</v>
      </c>
    </row>
    <row r="211" spans="1:19" s="552" customFormat="1" ht="39.950000000000003" customHeight="1">
      <c r="A211" s="687" t="str">
        <f>L_CViec!A379</f>
        <v>VI.3</v>
      </c>
      <c r="B211" s="682" t="str">
        <f>L_CViec!B379</f>
        <v>GHI CHÚ</v>
      </c>
      <c r="C211" s="682">
        <f>L_CViec!AB379</f>
        <v>0</v>
      </c>
      <c r="D211" s="682"/>
      <c r="E211" s="682">
        <f>L_CViec!AC379</f>
        <v>0</v>
      </c>
      <c r="F211" s="682">
        <f>L_CViec!AD379</f>
        <v>0</v>
      </c>
      <c r="G211" s="682">
        <f>L_CViec!AE379</f>
        <v>0</v>
      </c>
      <c r="H211" s="817">
        <f>L_CViec!AF379</f>
        <v>0</v>
      </c>
      <c r="I211" s="817">
        <f>L_CViec!AG379</f>
        <v>0</v>
      </c>
      <c r="J211" s="627">
        <f>L_CViec!AH379</f>
        <v>0</v>
      </c>
      <c r="K211" s="722"/>
      <c r="L211" s="722"/>
      <c r="M211" s="722"/>
      <c r="N211" s="722"/>
      <c r="O211" s="722"/>
      <c r="P211" s="722"/>
      <c r="Q211" s="722"/>
      <c r="R211" s="722"/>
      <c r="S211" s="689"/>
    </row>
    <row r="212" spans="1:19" s="552" customFormat="1" ht="39.950000000000003" customHeight="1">
      <c r="A212" s="546" t="str">
        <f>L_CViec!A380</f>
        <v>1</v>
      </c>
      <c r="B212" s="1775" t="str">
        <f>L_CViec!B380</f>
        <v>Cột “ĐM Đất” áp dụng cho trường hợp đăng ký, cấp GCN đối với đất; cột “ĐM TS” áp dụng cho trường hợp đăng ký, cấp GCN đối với tài sản; cột “ĐM Đất + TS” áp dụng đối với trường hợp đăng ký, cấp GCN đối với cả đất và tài sản gắn liền với đất</v>
      </c>
      <c r="C212" s="1775"/>
      <c r="D212" s="1775"/>
      <c r="E212" s="1775"/>
      <c r="F212" s="1775"/>
      <c r="G212" s="1775"/>
      <c r="H212" s="1775"/>
      <c r="I212" s="1775"/>
      <c r="J212" s="1775"/>
      <c r="K212" s="1775"/>
      <c r="L212" s="1775"/>
      <c r="M212" s="1775"/>
      <c r="N212" s="550"/>
      <c r="O212" s="550"/>
      <c r="P212" s="550"/>
      <c r="Q212" s="550"/>
      <c r="R212" s="550"/>
      <c r="S212" s="551"/>
    </row>
    <row r="213" spans="1:19" s="552" customFormat="1" ht="39.950000000000003" customHeight="1">
      <c r="A213" s="546" t="str">
        <f>L_CViec!A381</f>
        <v>2</v>
      </c>
      <c r="B213" s="1775" t="str">
        <f>L_CViec!B381</f>
        <v>Trường hợp cấp đổi GCN đồng thời với thực hiện thủ tục đăng ký biến động đất đai thì áp dụng theo định mức đăng ký biến động đất đai quy định tại Điều 20 Quy định này</v>
      </c>
      <c r="C213" s="1775"/>
      <c r="D213" s="1775"/>
      <c r="E213" s="1775"/>
      <c r="F213" s="1775"/>
      <c r="G213" s="1775"/>
      <c r="H213" s="1775"/>
      <c r="I213" s="1775"/>
      <c r="J213" s="1775"/>
      <c r="K213" s="1775"/>
      <c r="L213" s="1775"/>
      <c r="M213" s="1775"/>
      <c r="N213" s="550"/>
      <c r="O213" s="550"/>
      <c r="P213" s="550"/>
      <c r="Q213" s="550"/>
      <c r="R213" s="550"/>
      <c r="S213" s="551"/>
    </row>
    <row r="214" spans="1:19" s="552" customFormat="1" ht="39.950000000000003" customHeight="1" thickBot="1">
      <c r="A214" s="593">
        <f>L_CViec!A382</f>
        <v>0</v>
      </c>
      <c r="B214" s="1776">
        <f>L_CViec!B382</f>
        <v>0</v>
      </c>
      <c r="C214" s="1776"/>
      <c r="D214" s="1776"/>
      <c r="E214" s="1776"/>
      <c r="F214" s="1776"/>
      <c r="G214" s="1776"/>
      <c r="H214" s="1776"/>
      <c r="I214" s="1776"/>
      <c r="J214" s="1776"/>
      <c r="K214" s="1776"/>
      <c r="L214" s="1776"/>
      <c r="M214" s="1776"/>
      <c r="N214" s="720"/>
      <c r="O214" s="720"/>
      <c r="P214" s="720"/>
      <c r="Q214" s="720"/>
      <c r="R214" s="720"/>
      <c r="S214" s="721"/>
    </row>
    <row r="215" spans="1:19" s="534" customFormat="1" ht="39.950000000000003" customHeight="1">
      <c r="A215" s="695" t="str">
        <f>L_CViec!A384</f>
        <v>VII</v>
      </c>
      <c r="B215" s="1773" t="str">
        <f>L_CViec!B384</f>
        <v>Đăng ký biến động đất đai đối với hộ gia đình, cá nhân, cộng đồng dân cư, người gốc Việt Nam định cư ở nước ngoài</v>
      </c>
      <c r="C215" s="1774"/>
      <c r="D215" s="1774"/>
      <c r="E215" s="696" t="s">
        <v>346</v>
      </c>
      <c r="F215" s="697"/>
      <c r="G215" s="697"/>
      <c r="H215" s="697"/>
      <c r="I215" s="697"/>
      <c r="J215" s="698"/>
      <c r="K215" s="699"/>
      <c r="L215" s="699"/>
      <c r="M215" s="699"/>
      <c r="N215" s="699"/>
      <c r="O215" s="699"/>
      <c r="P215" s="699"/>
      <c r="Q215" s="699"/>
      <c r="R215" s="699"/>
      <c r="S215" s="700"/>
    </row>
    <row r="216" spans="1:19" s="552" customFormat="1" ht="39.950000000000003" customHeight="1">
      <c r="A216" s="650" t="str">
        <f>L_CViec!A385</f>
        <v>VII.1</v>
      </c>
      <c r="B216" s="1750" t="str">
        <f>L_CViec!B385</f>
        <v>CÁC NỘI DUNG THỰC HIỆN TẠI ĐỊA BÀN XÃ, PHƯỜNG</v>
      </c>
      <c r="C216" s="1751">
        <f>L_CViec!AB385</f>
        <v>0</v>
      </c>
      <c r="D216" s="1752"/>
      <c r="E216" s="629">
        <f>L_CViec!AC385</f>
        <v>0</v>
      </c>
      <c r="F216" s="629">
        <f>L_CViec!AD385</f>
        <v>0</v>
      </c>
      <c r="G216" s="628"/>
      <c r="H216" s="630"/>
      <c r="I216" s="630"/>
      <c r="J216" s="630"/>
      <c r="K216" s="703">
        <f>SUM(K218,K220,K221,K222,K223,K225,K227,K228,K230,K232,K233,K234,K235,K236)</f>
        <v>871598.61945</v>
      </c>
      <c r="L216" s="703">
        <f t="shared" ref="L216:S216" si="27">SUM(L218,L220,L221,L222,L223,L225,L227,L228,L230,L232,L233,L234,L235,L236)</f>
        <v>1076945.4657000001</v>
      </c>
      <c r="M216" s="703">
        <f t="shared" si="27"/>
        <v>1361390.1531749996</v>
      </c>
      <c r="N216" s="703">
        <f t="shared" si="27"/>
        <v>66058.667999999976</v>
      </c>
      <c r="O216" s="703">
        <f t="shared" si="27"/>
        <v>81831.964500000002</v>
      </c>
      <c r="P216" s="703">
        <f t="shared" si="27"/>
        <v>102897.11250000002</v>
      </c>
      <c r="Q216" s="703">
        <f t="shared" si="27"/>
        <v>72550.769230769234</v>
      </c>
      <c r="R216" s="703">
        <f t="shared" si="27"/>
        <v>89874.230769230795</v>
      </c>
      <c r="S216" s="538">
        <f t="shared" si="27"/>
        <v>113009.61538461539</v>
      </c>
    </row>
    <row r="217" spans="1:19" s="552" customFormat="1" ht="39.950000000000003" customHeight="1">
      <c r="A217" s="546" t="str">
        <f>L_CViec!A386</f>
        <v>1</v>
      </c>
      <c r="B217" s="559" t="str">
        <f>L_CViec!B386</f>
        <v>Hướng dẫn lập hồ sơ đăng ký biến động đất đai</v>
      </c>
      <c r="C217" s="548">
        <f>L_CViec!AB386</f>
        <v>0</v>
      </c>
      <c r="D217" s="548"/>
      <c r="E217" s="548">
        <f>L_CViec!AC386</f>
        <v>0</v>
      </c>
      <c r="F217" s="548">
        <f>L_CViec!AD386</f>
        <v>0</v>
      </c>
      <c r="G217" s="548">
        <f>L_CViec!AE386</f>
        <v>0</v>
      </c>
      <c r="H217" s="704">
        <f>L_CViec!AF386</f>
        <v>0</v>
      </c>
      <c r="I217" s="704">
        <f>L_CViec!AG386</f>
        <v>0</v>
      </c>
      <c r="J217" s="550">
        <f>L_CViec!AH386</f>
        <v>0</v>
      </c>
      <c r="K217" s="705"/>
      <c r="L217" s="705"/>
      <c r="M217" s="705"/>
      <c r="N217" s="705"/>
      <c r="O217" s="705"/>
      <c r="P217" s="705"/>
      <c r="Q217" s="705"/>
      <c r="R217" s="705"/>
      <c r="S217" s="551"/>
    </row>
    <row r="218" spans="1:19" s="558" customFormat="1" ht="24.95" customHeight="1">
      <c r="A218" s="553" t="str">
        <f>L_CViec!A387</f>
        <v>1.1</v>
      </c>
      <c r="B218" s="574" t="str">
        <f>L_CViec!B387</f>
        <v>Theo hình thức trực tiếp</v>
      </c>
      <c r="C218" s="555" t="str">
        <f>L_CViec!AB387</f>
        <v>Hồ sơ</v>
      </c>
      <c r="D218" s="555">
        <f>L_CViec!AA387</f>
        <v>1</v>
      </c>
      <c r="E218" s="555" t="str">
        <f>L_CViec!AC387</f>
        <v>1KS2</v>
      </c>
      <c r="F218" s="555" t="str">
        <f>L_CViec!AD387</f>
        <v>1-3</v>
      </c>
      <c r="G218" s="555">
        <f>L_CViec!AE387</f>
        <v>0.2</v>
      </c>
      <c r="H218" s="706">
        <f>L_CViec!AF387</f>
        <v>0.2</v>
      </c>
      <c r="I218" s="706">
        <f>L_CViec!AG387</f>
        <v>0.26</v>
      </c>
      <c r="J218" s="556">
        <f>L_CViec!AH387</f>
        <v>296770.5</v>
      </c>
      <c r="K218" s="707">
        <f>G218*$J218*L_CBac!$G$68</f>
        <v>68257.214999999997</v>
      </c>
      <c r="L218" s="707">
        <f>H218*$J218*L_CBac!$G$68</f>
        <v>68257.214999999997</v>
      </c>
      <c r="M218" s="707">
        <f>I218*$J218*L_CBac!$G$68</f>
        <v>88734.379499999995</v>
      </c>
      <c r="N218" s="707">
        <f>$D218*G218*L_CBac!$J$68</f>
        <v>5112.9000000000005</v>
      </c>
      <c r="O218" s="707">
        <f>$D218*H218*L_CBac!$J$68</f>
        <v>5112.9000000000005</v>
      </c>
      <c r="P218" s="707">
        <f>$D218*I218*L_CBac!$J$68</f>
        <v>6646.77</v>
      </c>
      <c r="Q218" s="707">
        <f>$D218*G218*L_CBac!$J$69</f>
        <v>5615.3846153846162</v>
      </c>
      <c r="R218" s="707">
        <f>$D218*H218*L_CBac!$J$69</f>
        <v>5615.3846153846162</v>
      </c>
      <c r="S218" s="557">
        <f>$D218*I218*L_CBac!$J$69</f>
        <v>7300.0000000000009</v>
      </c>
    </row>
    <row r="219" spans="1:19" s="558" customFormat="1" ht="24.95" customHeight="1">
      <c r="A219" s="553" t="str">
        <f>L_CViec!A388</f>
        <v>1.2</v>
      </c>
      <c r="B219" s="574" t="str">
        <f>L_CViec!B388</f>
        <v>Theo hình thức trực tuyến</v>
      </c>
      <c r="C219" s="555" t="str">
        <f>L_CViec!AB388</f>
        <v>Hồ sơ</v>
      </c>
      <c r="D219" s="555">
        <f>L_CViec!AA388</f>
        <v>1</v>
      </c>
      <c r="E219" s="555" t="str">
        <f>L_CViec!AC388</f>
        <v>1KS2</v>
      </c>
      <c r="F219" s="555" t="str">
        <f>L_CViec!AD388</f>
        <v>1-3</v>
      </c>
      <c r="G219" s="555">
        <f>L_CViec!AE388</f>
        <v>0.15</v>
      </c>
      <c r="H219" s="706">
        <f>L_CViec!AF388</f>
        <v>0.15</v>
      </c>
      <c r="I219" s="706">
        <f>L_CViec!AG388</f>
        <v>0.19500000000000001</v>
      </c>
      <c r="J219" s="556">
        <f>L_CViec!AH388</f>
        <v>296770.5</v>
      </c>
      <c r="K219" s="707">
        <f>G219*$J219*L_CBac!$G$68</f>
        <v>51192.91124999999</v>
      </c>
      <c r="L219" s="707">
        <f>H219*$J219*L_CBac!$G$68</f>
        <v>51192.91124999999</v>
      </c>
      <c r="M219" s="707">
        <f>I219*$J219*L_CBac!$G$68</f>
        <v>66550.784625</v>
      </c>
      <c r="N219" s="707">
        <f>$D219*G219*L_CBac!$J$68</f>
        <v>3834.6749999999997</v>
      </c>
      <c r="O219" s="707">
        <f>$D219*H219*L_CBac!$J$68</f>
        <v>3834.6749999999997</v>
      </c>
      <c r="P219" s="707">
        <f>$D219*I219*L_CBac!$J$68</f>
        <v>4985.0775000000003</v>
      </c>
      <c r="Q219" s="707">
        <f>$D219*G219*L_CBac!$J$69</f>
        <v>4211.5384615384619</v>
      </c>
      <c r="R219" s="707">
        <f>$D219*H219*L_CBac!$J$69</f>
        <v>4211.5384615384619</v>
      </c>
      <c r="S219" s="557">
        <f>$D219*I219*L_CBac!$J$69</f>
        <v>5475</v>
      </c>
    </row>
    <row r="220" spans="1:19" s="552" customFormat="1" ht="70.5" customHeight="1">
      <c r="A220" s="546" t="str">
        <f>L_CViec!A389</f>
        <v>2</v>
      </c>
      <c r="B220" s="559" t="str">
        <f>L_CViec!B389</f>
        <v>Nhận, kiểm tra tính đầy đủ của thành phần hồ sơ và cấp Giấy tiếp nhận hồ sơ và hẹn trả kết quả hoặc trả lại hồ sơ, vào sổ theo dõi nhận, trả hồ sơ (theo hình thức trực tiếp, trực tuyến)</v>
      </c>
      <c r="C220" s="548" t="str">
        <f>L_CViec!AB389</f>
        <v>Hồ sơ</v>
      </c>
      <c r="D220" s="548">
        <f>L_CViec!AA389</f>
        <v>1</v>
      </c>
      <c r="E220" s="548" t="str">
        <f>L_CViec!AC389</f>
        <v>1KS2</v>
      </c>
      <c r="F220" s="548" t="str">
        <f>L_CViec!AD389</f>
        <v>1-3</v>
      </c>
      <c r="G220" s="548">
        <f>L_CViec!AE389</f>
        <v>0.25</v>
      </c>
      <c r="H220" s="704">
        <f>L_CViec!AF389</f>
        <v>0.25</v>
      </c>
      <c r="I220" s="704">
        <f>L_CViec!AG389</f>
        <v>0.32500000000000001</v>
      </c>
      <c r="J220" s="550">
        <f>L_CViec!AH389</f>
        <v>296770.5</v>
      </c>
      <c r="K220" s="705">
        <f>G220*$J220*L_CBac!$G$68</f>
        <v>85321.518749999988</v>
      </c>
      <c r="L220" s="705">
        <f>H220*$J220*L_CBac!$G$68</f>
        <v>85321.518749999988</v>
      </c>
      <c r="M220" s="705">
        <f>I220*$J220*L_CBac!$G$68</f>
        <v>110917.97437500001</v>
      </c>
      <c r="N220" s="705">
        <f>$D220*G220*L_CBac!$J$68</f>
        <v>6391.125</v>
      </c>
      <c r="O220" s="705">
        <f>$D220*H220*L_CBac!$J$68</f>
        <v>6391.125</v>
      </c>
      <c r="P220" s="705">
        <f>$D220*I220*L_CBac!$J$68</f>
        <v>8308.4624999999996</v>
      </c>
      <c r="Q220" s="705">
        <f>$D220*G220*L_CBac!$J$69</f>
        <v>7019.2307692307695</v>
      </c>
      <c r="R220" s="705">
        <f>$D220*H220*L_CBac!$J$69</f>
        <v>7019.2307692307695</v>
      </c>
      <c r="S220" s="551">
        <f>$D220*I220*L_CBac!$J$69</f>
        <v>9125</v>
      </c>
    </row>
    <row r="221" spans="1:19" s="552" customFormat="1" ht="52.5" customHeight="1">
      <c r="A221" s="546" t="str">
        <f>L_CViec!A390</f>
        <v>3</v>
      </c>
      <c r="B221" s="559" t="str">
        <f>L_CViec!B390</f>
        <v>Tạo tệp (File) dữ liệu hồ sơ số và nhập thông tin do người sử dụng đất kê khai, đăng ký</v>
      </c>
      <c r="C221" s="548" t="str">
        <f>L_CViec!AB390</f>
        <v>Thửa</v>
      </c>
      <c r="D221" s="548">
        <f>L_CViec!AA390</f>
        <v>1</v>
      </c>
      <c r="E221" s="548" t="str">
        <f>L_CViec!AC390</f>
        <v>1KS3</v>
      </c>
      <c r="F221" s="548" t="str">
        <f>L_CViec!AD390</f>
        <v>1-3</v>
      </c>
      <c r="G221" s="548">
        <f>L_CViec!AE390</f>
        <v>0.107</v>
      </c>
      <c r="H221" s="704">
        <f>L_CViec!AF390</f>
        <v>3.3000000000000002E-2</v>
      </c>
      <c r="I221" s="704">
        <f>L_CViec!AG390</f>
        <v>0.16700000000000001</v>
      </c>
      <c r="J221" s="550">
        <f>L_CViec!AH390</f>
        <v>333450</v>
      </c>
      <c r="K221" s="705">
        <f>G221*$J221*L_CBac!$G$68</f>
        <v>41031.022499999999</v>
      </c>
      <c r="L221" s="705">
        <f>H221*$J221*L_CBac!$G$68</f>
        <v>12654.4275</v>
      </c>
      <c r="M221" s="705">
        <f>I221*$J221*L_CBac!$G$68</f>
        <v>64039.072499999995</v>
      </c>
      <c r="N221" s="705">
        <f>$D221*G221*L_CBac!$J$68</f>
        <v>2735.4014999999999</v>
      </c>
      <c r="O221" s="705">
        <f>$D221*H221*L_CBac!$J$68</f>
        <v>843.62850000000003</v>
      </c>
      <c r="P221" s="705">
        <f>$D221*I221*L_CBac!$J$68</f>
        <v>4269.2714999999998</v>
      </c>
      <c r="Q221" s="705">
        <f>$D221*G221*L_CBac!$J$69</f>
        <v>3004.2307692307695</v>
      </c>
      <c r="R221" s="705">
        <f>$D221*H221*L_CBac!$J$69</f>
        <v>926.53846153846166</v>
      </c>
      <c r="S221" s="551">
        <f>$D221*I221*L_CBac!$J$69</f>
        <v>4688.8461538461543</v>
      </c>
    </row>
    <row r="222" spans="1:19" s="552" customFormat="1" ht="132.75" customHeight="1">
      <c r="A222" s="546" t="str">
        <f>L_CViec!A398</f>
        <v>7</v>
      </c>
      <c r="B222" s="559" t="str">
        <f>L_CViec!B398</f>
        <v>Kiểm tra các điều kiện thực hiện quyền theo quy định của Luật Đất đai đối với trường hợp thực hiện quyền của người sử dụng đất, của chủ sở hữu tài sản gắn liền với đất. Trường hợp không đủ điều kiện thực hiện quyền theo quy định của Luật Đất đai hoặc nhận được một trong các văn bản của cơ quan có thẩm quyền về việc dừng giải quyết thủ tục thì thông báo lý do và trả hồ sơ</v>
      </c>
      <c r="C222" s="548" t="str">
        <f>L_CViec!AB398</f>
        <v>Hồ sơ</v>
      </c>
      <c r="D222" s="548">
        <f>L_CViec!AA398</f>
        <v>2</v>
      </c>
      <c r="E222" s="548" t="str">
        <f>L_CViec!AC398</f>
        <v xml:space="preserve">1KS2, 1KTV4 </v>
      </c>
      <c r="F222" s="548" t="str">
        <f>L_CViec!AD398</f>
        <v>1-3</v>
      </c>
      <c r="G222" s="548">
        <f>L_CViec!AE398</f>
        <v>0.6</v>
      </c>
      <c r="H222" s="704">
        <f>L_CViec!AF398</f>
        <v>0.9</v>
      </c>
      <c r="I222" s="704">
        <f>L_CViec!AG398</f>
        <v>1.08</v>
      </c>
      <c r="J222" s="550">
        <f>L_CViec!AH398</f>
        <v>570199.5</v>
      </c>
      <c r="K222" s="705">
        <f>G222*$J222*L_CBac!$G$68</f>
        <v>393437.65499999997</v>
      </c>
      <c r="L222" s="705">
        <f>H222*$J222*L_CBac!$G$68</f>
        <v>590156.48249999993</v>
      </c>
      <c r="M222" s="705">
        <f>I222*$J222*L_CBac!$G$68</f>
        <v>708187.77899999998</v>
      </c>
      <c r="N222" s="705">
        <f>$D222*G222*L_CBac!$J$68</f>
        <v>30677.399999999998</v>
      </c>
      <c r="O222" s="705">
        <f>$D222*H222*L_CBac!$J$68</f>
        <v>46016.1</v>
      </c>
      <c r="P222" s="705">
        <f>$D222*I222*L_CBac!$J$68</f>
        <v>55219.320000000007</v>
      </c>
      <c r="Q222" s="705">
        <f>$D222*G222*L_CBac!$J$69</f>
        <v>33692.307692307695</v>
      </c>
      <c r="R222" s="705">
        <f>$D222*H222*L_CBac!$J$69</f>
        <v>50538.461538461539</v>
      </c>
      <c r="S222" s="551">
        <f>$D222*I222*L_CBac!$J$69</f>
        <v>60646.153846153851</v>
      </c>
    </row>
    <row r="223" spans="1:19" s="552" customFormat="1" ht="44.25" customHeight="1">
      <c r="A223" s="546" t="str">
        <f>L_CViec!A408</f>
        <v>17</v>
      </c>
      <c r="B223" s="559" t="str">
        <f>L_CViec!B408</f>
        <v>Nhập nội dung xác nhận vào tệp (File) dữ liệu hồ sơ số</v>
      </c>
      <c r="C223" s="548" t="str">
        <f>L_CViec!AB408</f>
        <v>Thửa</v>
      </c>
      <c r="D223" s="548">
        <f>L_CViec!AA408</f>
        <v>1</v>
      </c>
      <c r="E223" s="548" t="str">
        <f>L_CViec!AC408</f>
        <v>1KS3</v>
      </c>
      <c r="F223" s="548" t="str">
        <f>L_CViec!AD408</f>
        <v>1-3</v>
      </c>
      <c r="G223" s="548">
        <f>L_CViec!AE408</f>
        <v>6.0000000000000001E-3</v>
      </c>
      <c r="H223" s="704">
        <f>L_CViec!AF408</f>
        <v>6.0000000000000001E-3</v>
      </c>
      <c r="I223" s="704">
        <f>L_CViec!AG408</f>
        <v>6.0000000000000001E-3</v>
      </c>
      <c r="J223" s="550">
        <f>L_CViec!AH408</f>
        <v>333450</v>
      </c>
      <c r="K223" s="705">
        <f>G223*$J223*L_CBac!$G$68</f>
        <v>2300.8049999999998</v>
      </c>
      <c r="L223" s="705">
        <f>H223*$J223*L_CBac!$G$68</f>
        <v>2300.8049999999998</v>
      </c>
      <c r="M223" s="705">
        <f>I223*$J223*L_CBac!$G$68</f>
        <v>2300.8049999999998</v>
      </c>
      <c r="N223" s="705">
        <f>$D223*G223*L_CBac!$J$68</f>
        <v>153.387</v>
      </c>
      <c r="O223" s="705">
        <f>$D223*H223*L_CBac!$J$68</f>
        <v>153.387</v>
      </c>
      <c r="P223" s="705">
        <f>$D223*I223*L_CBac!$J$68</f>
        <v>153.387</v>
      </c>
      <c r="Q223" s="705">
        <f>$D223*G223*L_CBac!$J$69</f>
        <v>168.46153846153848</v>
      </c>
      <c r="R223" s="705">
        <f>$D223*H223*L_CBac!$J$69</f>
        <v>168.46153846153848</v>
      </c>
      <c r="S223" s="551">
        <f>$D223*I223*L_CBac!$J$69</f>
        <v>168.46153846153848</v>
      </c>
    </row>
    <row r="224" spans="1:19" s="552" customFormat="1" ht="81.75" customHeight="1">
      <c r="A224" s="546" t="str">
        <f>L_CViec!A409</f>
        <v>18</v>
      </c>
      <c r="B224" s="559" t="str">
        <f>L_CViec!B409</f>
        <v>Trích lục bản đồ địa chính hoặc trích đo bản đồ địa chính</v>
      </c>
      <c r="C224" s="548">
        <f>L_CViec!AB409</f>
        <v>0</v>
      </c>
      <c r="D224" s="548">
        <f>L_CViec!AA409</f>
        <v>0</v>
      </c>
      <c r="E224" s="548">
        <f>L_CViec!AC409</f>
        <v>0</v>
      </c>
      <c r="F224" s="548">
        <f>L_CViec!AD409</f>
        <v>0</v>
      </c>
      <c r="G224" s="548">
        <f>L_CViec!AE409</f>
        <v>0</v>
      </c>
      <c r="H224" s="704">
        <f>L_CViec!AF409</f>
        <v>0</v>
      </c>
      <c r="I224" s="704">
        <f>L_CViec!AG409</f>
        <v>0</v>
      </c>
      <c r="J224" s="550">
        <f>L_CViec!AH409</f>
        <v>0</v>
      </c>
      <c r="K224" s="705"/>
      <c r="L224" s="705"/>
      <c r="M224" s="705"/>
      <c r="N224" s="705"/>
      <c r="O224" s="705"/>
      <c r="P224" s="705"/>
      <c r="Q224" s="705"/>
      <c r="R224" s="705"/>
      <c r="S224" s="551"/>
    </row>
    <row r="225" spans="1:19" s="558" customFormat="1" ht="24.95" customHeight="1">
      <c r="A225" s="553" t="str">
        <f>L_CViec!A410</f>
        <v>18.1</v>
      </c>
      <c r="B225" s="574" t="str">
        <f>L_CViec!B410</f>
        <v>Trích lục trên bản đồ dạng số</v>
      </c>
      <c r="C225" s="555" t="str">
        <f>L_CViec!AB410</f>
        <v>Hồ sơ</v>
      </c>
      <c r="D225" s="555">
        <f>L_CViec!AA410</f>
        <v>1</v>
      </c>
      <c r="E225" s="555" t="str">
        <f>L_CViec!AC410</f>
        <v>1KS2</v>
      </c>
      <c r="F225" s="555" t="str">
        <f>L_CViec!AD410</f>
        <v>1-3</v>
      </c>
      <c r="G225" s="555">
        <f>L_CViec!AE410</f>
        <v>0.05</v>
      </c>
      <c r="H225" s="706">
        <f>L_CViec!AF410</f>
        <v>0</v>
      </c>
      <c r="I225" s="706">
        <f>L_CViec!AG410</f>
        <v>0.05</v>
      </c>
      <c r="J225" s="556">
        <f>L_CViec!AH410</f>
        <v>296770.5</v>
      </c>
      <c r="K225" s="707">
        <f>G225*$J225*L_CBac!$G$68</f>
        <v>17064.303749999999</v>
      </c>
      <c r="L225" s="707">
        <f>H225*$J225*L_CBac!$G$68</f>
        <v>0</v>
      </c>
      <c r="M225" s="707">
        <f>I225*$J225*L_CBac!$G$68</f>
        <v>17064.303749999999</v>
      </c>
      <c r="N225" s="707">
        <f>$D225*G225*L_CBac!$J$68</f>
        <v>1278.2250000000001</v>
      </c>
      <c r="O225" s="707">
        <f>$D225*H225*L_CBac!$J$68</f>
        <v>0</v>
      </c>
      <c r="P225" s="707">
        <f>$D225*I225*L_CBac!$J$68</f>
        <v>1278.2250000000001</v>
      </c>
      <c r="Q225" s="707">
        <f>$D225*G225*L_CBac!$J$69</f>
        <v>1403.846153846154</v>
      </c>
      <c r="R225" s="707">
        <f>$D225*H225*L_CBac!$J$69</f>
        <v>0</v>
      </c>
      <c r="S225" s="557">
        <f>$D225*I225*L_CBac!$J$69</f>
        <v>1403.846153846154</v>
      </c>
    </row>
    <row r="226" spans="1:19" s="558" customFormat="1" ht="24.95" customHeight="1">
      <c r="A226" s="553" t="str">
        <f>L_CViec!A411</f>
        <v>18.2</v>
      </c>
      <c r="B226" s="574" t="str">
        <f>L_CViec!B411</f>
        <v>Trích lục trên bản đồ dạng giấy</v>
      </c>
      <c r="C226" s="555" t="str">
        <f>L_CViec!AB411</f>
        <v>Hồ sơ</v>
      </c>
      <c r="D226" s="555">
        <f>L_CViec!AA411</f>
        <v>1</v>
      </c>
      <c r="E226" s="555" t="str">
        <f>L_CViec!AC411</f>
        <v>1KS2</v>
      </c>
      <c r="F226" s="555" t="str">
        <f>L_CViec!AD411</f>
        <v>1-3</v>
      </c>
      <c r="G226" s="555">
        <f>L_CViec!AE411</f>
        <v>0.1</v>
      </c>
      <c r="H226" s="706">
        <f>L_CViec!AF411</f>
        <v>0</v>
      </c>
      <c r="I226" s="706">
        <f>L_CViec!AG411</f>
        <v>0.1</v>
      </c>
      <c r="J226" s="556">
        <f>L_CViec!AH411</f>
        <v>296770.5</v>
      </c>
      <c r="K226" s="707">
        <f>G226*$J226*L_CBac!$G$68</f>
        <v>34128.607499999998</v>
      </c>
      <c r="L226" s="707">
        <f>H226*$J226*L_CBac!$G$68</f>
        <v>0</v>
      </c>
      <c r="M226" s="707">
        <f>I226*$J226*L_CBac!$G$68</f>
        <v>34128.607499999998</v>
      </c>
      <c r="N226" s="707">
        <f>$D226*G226*L_CBac!$J$68</f>
        <v>2556.4500000000003</v>
      </c>
      <c r="O226" s="707">
        <f>$D226*H226*L_CBac!$J$68</f>
        <v>0</v>
      </c>
      <c r="P226" s="707">
        <f>$D226*I226*L_CBac!$J$68</f>
        <v>2556.4500000000003</v>
      </c>
      <c r="Q226" s="707">
        <f>$D226*G226*L_CBac!$J$69</f>
        <v>2807.6923076923081</v>
      </c>
      <c r="R226" s="707">
        <f>$D226*H226*L_CBac!$J$69</f>
        <v>0</v>
      </c>
      <c r="S226" s="557">
        <f>$D226*I226*L_CBac!$J$69</f>
        <v>2807.6923076923081</v>
      </c>
    </row>
    <row r="227" spans="1:19" s="552" customFormat="1" ht="66.75" customHeight="1">
      <c r="A227" s="546">
        <f>L_CViec!A412</f>
        <v>19</v>
      </c>
      <c r="B227" s="559" t="str">
        <f>L_CViec!B412</f>
        <v>Lập và gửi Phiếu chuyển thông tin để xác định nghĩa vụ tài chính về đất đai (nếu có)</v>
      </c>
      <c r="C227" s="548">
        <f>L_CViec!AB412</f>
        <v>0</v>
      </c>
      <c r="D227" s="548">
        <f>L_CViec!AA412</f>
        <v>1</v>
      </c>
      <c r="E227" s="548">
        <f>L_CViec!AC412</f>
        <v>0</v>
      </c>
      <c r="F227" s="548">
        <f>L_CViec!AD412</f>
        <v>0</v>
      </c>
      <c r="G227" s="548">
        <f>L_CViec!AE412</f>
        <v>0</v>
      </c>
      <c r="H227" s="704">
        <f>L_CViec!AF412</f>
        <v>0</v>
      </c>
      <c r="I227" s="704">
        <f>L_CViec!AG412</f>
        <v>0</v>
      </c>
      <c r="J227" s="550">
        <f>L_CViec!AH412</f>
        <v>0</v>
      </c>
      <c r="K227" s="705">
        <f>G227*$J227*L_CBac!$G$68</f>
        <v>0</v>
      </c>
      <c r="L227" s="705">
        <f>H227*$J227*L_CBac!$G$68</f>
        <v>0</v>
      </c>
      <c r="M227" s="705">
        <f>I227*$J227*L_CBac!$G$68</f>
        <v>0</v>
      </c>
      <c r="N227" s="705">
        <f>$D227*G227*L_CBac!$J$68</f>
        <v>0</v>
      </c>
      <c r="O227" s="705">
        <f>$D227*H227*L_CBac!$J$68</f>
        <v>0</v>
      </c>
      <c r="P227" s="705">
        <f>$D227*I227*L_CBac!$J$68</f>
        <v>0</v>
      </c>
      <c r="Q227" s="705">
        <f>$D227*G227*L_CBac!$J$69</f>
        <v>0</v>
      </c>
      <c r="R227" s="705">
        <f>$D227*H227*L_CBac!$J$69</f>
        <v>0</v>
      </c>
      <c r="S227" s="551">
        <f>$D227*I227*L_CBac!$J$69</f>
        <v>0</v>
      </c>
    </row>
    <row r="228" spans="1:19" s="552" customFormat="1" ht="39.950000000000003" customHeight="1">
      <c r="A228" s="546" t="str">
        <f>L_CViec!A418</f>
        <v>21</v>
      </c>
      <c r="B228" s="559" t="str">
        <f>L_CViec!B418</f>
        <v>Nhập thông tin về nghĩa vụ tài chính, đăng ký vào hồ sơ địa chính</v>
      </c>
      <c r="C228" s="548" t="str">
        <f>L_CViec!AB418</f>
        <v>Thửa</v>
      </c>
      <c r="D228" s="548">
        <f>L_CViec!AA418</f>
        <v>1</v>
      </c>
      <c r="E228" s="548" t="str">
        <f>L_CViec!AC418</f>
        <v>1KS3</v>
      </c>
      <c r="F228" s="548" t="str">
        <f>L_CViec!AD418</f>
        <v>1-3</v>
      </c>
      <c r="G228" s="548">
        <f>L_CViec!AE418</f>
        <v>0.03</v>
      </c>
      <c r="H228" s="704">
        <f>L_CViec!AF418</f>
        <v>0.17100000000000001</v>
      </c>
      <c r="I228" s="704">
        <f>L_CViec!AG418</f>
        <v>0.23499999999999999</v>
      </c>
      <c r="J228" s="550">
        <f>L_CViec!AH418</f>
        <v>333450</v>
      </c>
      <c r="K228" s="705">
        <f>G228*$J228*L_CBac!$G$68</f>
        <v>11504.025</v>
      </c>
      <c r="L228" s="705">
        <f>H228*$J228*L_CBac!$G$68</f>
        <v>65572.942500000005</v>
      </c>
      <c r="M228" s="705">
        <f>I228*$J228*L_CBac!$G$68</f>
        <v>90114.862499999988</v>
      </c>
      <c r="N228" s="705">
        <f>$D228*G228*L_CBac!$J$68</f>
        <v>766.93499999999995</v>
      </c>
      <c r="O228" s="705">
        <f>$D228*H228*L_CBac!$J$68</f>
        <v>4371.5295000000006</v>
      </c>
      <c r="P228" s="705">
        <f>$D228*I228*L_CBac!$J$68</f>
        <v>6007.6574999999993</v>
      </c>
      <c r="Q228" s="705">
        <f>$D228*G228*L_CBac!$J$69</f>
        <v>842.30769230769226</v>
      </c>
      <c r="R228" s="705">
        <f>$D228*H228*L_CBac!$J$69</f>
        <v>4801.1538461538466</v>
      </c>
      <c r="S228" s="551">
        <f>$D228*I228*L_CBac!$J$69</f>
        <v>6598.0769230769229</v>
      </c>
    </row>
    <row r="229" spans="1:19" s="552" customFormat="1" ht="24.95" customHeight="1">
      <c r="A229" s="546" t="str">
        <f>L_CViec!A419</f>
        <v>22</v>
      </c>
      <c r="B229" s="559" t="str">
        <f>L_CViec!B419</f>
        <v>In GCN</v>
      </c>
      <c r="C229" s="548">
        <f>L_CViec!AB419</f>
        <v>0</v>
      </c>
      <c r="D229" s="548">
        <f>L_CViec!AA419</f>
        <v>0</v>
      </c>
      <c r="E229" s="548">
        <f>L_CViec!AC419</f>
        <v>0</v>
      </c>
      <c r="F229" s="548">
        <f>L_CViec!AD419</f>
        <v>0</v>
      </c>
      <c r="G229" s="548">
        <f>L_CViec!AE419</f>
        <v>0</v>
      </c>
      <c r="H229" s="704">
        <f>L_CViec!AF419</f>
        <v>0</v>
      </c>
      <c r="I229" s="704">
        <f>L_CViec!AG419</f>
        <v>0</v>
      </c>
      <c r="J229" s="550">
        <f>L_CViec!AH419</f>
        <v>0</v>
      </c>
      <c r="K229" s="705"/>
      <c r="L229" s="705"/>
      <c r="M229" s="705"/>
      <c r="N229" s="705"/>
      <c r="O229" s="705"/>
      <c r="P229" s="705"/>
      <c r="Q229" s="705"/>
      <c r="R229" s="705"/>
      <c r="S229" s="551"/>
    </row>
    <row r="230" spans="1:19" s="558" customFormat="1" ht="24.95" customHeight="1">
      <c r="A230" s="553" t="str">
        <f>L_CViec!A420</f>
        <v>22.1</v>
      </c>
      <c r="B230" s="574" t="str">
        <f>L_CViec!B420</f>
        <v>Trực tiếp từ cơ sở dữ liệu dạng số</v>
      </c>
      <c r="C230" s="555" t="str">
        <f>L_CViec!AB420</f>
        <v>GCN</v>
      </c>
      <c r="D230" s="555">
        <f>L_CViec!AA420</f>
        <v>1</v>
      </c>
      <c r="E230" s="555" t="str">
        <f>L_CViec!AC420</f>
        <v>1KS2</v>
      </c>
      <c r="F230" s="555" t="str">
        <f>L_CViec!AD420</f>
        <v>1-3</v>
      </c>
      <c r="G230" s="555">
        <f>L_CViec!AE420</f>
        <v>0.1</v>
      </c>
      <c r="H230" s="706">
        <f>L_CViec!AF420</f>
        <v>0.1</v>
      </c>
      <c r="I230" s="706">
        <f>L_CViec!AG420</f>
        <v>0.1</v>
      </c>
      <c r="J230" s="556">
        <f>L_CViec!AH420</f>
        <v>296770.5</v>
      </c>
      <c r="K230" s="707">
        <f>G230*$J230*L_CBac!$G$68</f>
        <v>34128.607499999998</v>
      </c>
      <c r="L230" s="707">
        <f>H230*$J230*L_CBac!$G$68</f>
        <v>34128.607499999998</v>
      </c>
      <c r="M230" s="707">
        <f>I230*$J230*L_CBac!$G$68</f>
        <v>34128.607499999998</v>
      </c>
      <c r="N230" s="707">
        <f>$D230*G230*L_CBac!$J$68</f>
        <v>2556.4500000000003</v>
      </c>
      <c r="O230" s="707">
        <f>$D230*H230*L_CBac!$J$68</f>
        <v>2556.4500000000003</v>
      </c>
      <c r="P230" s="707">
        <f>$D230*I230*L_CBac!$J$68</f>
        <v>2556.4500000000003</v>
      </c>
      <c r="Q230" s="707">
        <f>$D230*G230*L_CBac!$J$69</f>
        <v>2807.6923076923081</v>
      </c>
      <c r="R230" s="707">
        <f>$D230*H230*L_CBac!$J$69</f>
        <v>2807.6923076923081</v>
      </c>
      <c r="S230" s="557">
        <f>$D230*I230*L_CBac!$J$69</f>
        <v>2807.6923076923081</v>
      </c>
    </row>
    <row r="231" spans="1:19" s="558" customFormat="1" ht="24.95" customHeight="1">
      <c r="A231" s="553" t="str">
        <f>L_CViec!A421</f>
        <v>22.2</v>
      </c>
      <c r="B231" s="574" t="str">
        <f>L_CViec!B421</f>
        <v>Đối với những nơi chưa có bản đồ dạng số</v>
      </c>
      <c r="C231" s="555" t="str">
        <f>L_CViec!AB421</f>
        <v>GCN</v>
      </c>
      <c r="D231" s="555">
        <f>L_CViec!AA421</f>
        <v>1</v>
      </c>
      <c r="E231" s="555" t="str">
        <f>L_CViec!AC421</f>
        <v>1KS2</v>
      </c>
      <c r="F231" s="555" t="str">
        <f>L_CViec!AD421</f>
        <v>1-3</v>
      </c>
      <c r="G231" s="555">
        <f>L_CViec!AE421</f>
        <v>0.15</v>
      </c>
      <c r="H231" s="706">
        <f>L_CViec!AF421</f>
        <v>0.2</v>
      </c>
      <c r="I231" s="706">
        <f>L_CViec!AG421</f>
        <v>0.2</v>
      </c>
      <c r="J231" s="556">
        <f>L_CViec!AH421</f>
        <v>296770.5</v>
      </c>
      <c r="K231" s="707">
        <f>G231*$J231*L_CBac!$G$68</f>
        <v>51192.91124999999</v>
      </c>
      <c r="L231" s="707">
        <f>H231*$J231*L_CBac!$G$68</f>
        <v>68257.214999999997</v>
      </c>
      <c r="M231" s="707">
        <f>I231*$J231*L_CBac!$G$68</f>
        <v>68257.214999999997</v>
      </c>
      <c r="N231" s="707">
        <f>$D231*G231*L_CBac!$J$68</f>
        <v>3834.6749999999997</v>
      </c>
      <c r="O231" s="707">
        <f>$D231*H231*L_CBac!$J$68</f>
        <v>5112.9000000000005</v>
      </c>
      <c r="P231" s="707">
        <f>$D231*I231*L_CBac!$J$68</f>
        <v>5112.9000000000005</v>
      </c>
      <c r="Q231" s="707">
        <f>$D231*G231*L_CBac!$J$69</f>
        <v>4211.5384615384619</v>
      </c>
      <c r="R231" s="707">
        <f>$D231*H231*L_CBac!$J$69</f>
        <v>5615.3846153846162</v>
      </c>
      <c r="S231" s="557">
        <f>$D231*I231*L_CBac!$J$69</f>
        <v>5615.3846153846162</v>
      </c>
    </row>
    <row r="232" spans="1:19" s="558" customFormat="1" ht="50.25" customHeight="1">
      <c r="A232" s="553" t="str">
        <f>L_CViec!A422</f>
        <v>23</v>
      </c>
      <c r="B232" s="574" t="str">
        <f>L_CViec!B422</f>
        <v>Xác nhận nội dung biến động trên GCN hoặc cấp GCN mới</v>
      </c>
      <c r="C232" s="555" t="str">
        <f>L_CViec!AB422</f>
        <v>GCN</v>
      </c>
      <c r="D232" s="555">
        <f>L_CViec!AA422</f>
        <v>1</v>
      </c>
      <c r="E232" s="555" t="str">
        <f>L_CViec!AC422</f>
        <v>1KS2</v>
      </c>
      <c r="F232" s="555" t="str">
        <f>L_CViec!AD422</f>
        <v>1-3</v>
      </c>
      <c r="G232" s="555">
        <f>L_CViec!AE422</f>
        <v>0.1</v>
      </c>
      <c r="H232" s="706">
        <f>L_CViec!AF422</f>
        <v>0.1</v>
      </c>
      <c r="I232" s="706">
        <f>L_CViec!AG422</f>
        <v>0.1</v>
      </c>
      <c r="J232" s="556">
        <f>L_CViec!AH422</f>
        <v>296770.5</v>
      </c>
      <c r="K232" s="707">
        <f>G232*$J232*L_CBac!$G$68</f>
        <v>34128.607499999998</v>
      </c>
      <c r="L232" s="707">
        <f>H232*$J232*L_CBac!$G$68</f>
        <v>34128.607499999998</v>
      </c>
      <c r="M232" s="707">
        <f>I232*$J232*L_CBac!$G$68</f>
        <v>34128.607499999998</v>
      </c>
      <c r="N232" s="707">
        <f>$D232*G232*L_CBac!$J$68</f>
        <v>2556.4500000000003</v>
      </c>
      <c r="O232" s="707">
        <f>$D232*H232*L_CBac!$J$68</f>
        <v>2556.4500000000003</v>
      </c>
      <c r="P232" s="707">
        <f>$D232*I232*L_CBac!$J$68</f>
        <v>2556.4500000000003</v>
      </c>
      <c r="Q232" s="707">
        <f>$D232*G232*L_CBac!$J$69</f>
        <v>2807.6923076923081</v>
      </c>
      <c r="R232" s="707">
        <f>$D232*H232*L_CBac!$J$69</f>
        <v>2807.6923076923081</v>
      </c>
      <c r="S232" s="557">
        <f>$D232*I232*L_CBac!$J$69</f>
        <v>2807.6923076923081</v>
      </c>
    </row>
    <row r="233" spans="1:19" s="552" customFormat="1" ht="53.25" customHeight="1">
      <c r="A233" s="546" t="str">
        <f>L_CViec!A423</f>
        <v>24</v>
      </c>
      <c r="B233" s="559" t="str">
        <f>L_CViec!B423</f>
        <v>Thu hồi Giấy chứng nhận đã cấp của bên thuê, bên thuê lại đất đối với trường hợp xóa cho thuê, cho thuê lại đất</v>
      </c>
      <c r="C233" s="548" t="str">
        <f>L_CViec!AB423</f>
        <v>GCN</v>
      </c>
      <c r="D233" s="548">
        <f>L_CViec!AA423</f>
        <v>1</v>
      </c>
      <c r="E233" s="548" t="str">
        <f>L_CViec!AC423</f>
        <v>1KS2</v>
      </c>
      <c r="F233" s="548" t="str">
        <f>L_CViec!AD423</f>
        <v>1-3</v>
      </c>
      <c r="G233" s="548">
        <f>L_CViec!AE423</f>
        <v>0.1</v>
      </c>
      <c r="H233" s="704">
        <f>L_CViec!AF423</f>
        <v>0.1</v>
      </c>
      <c r="I233" s="704">
        <f>L_CViec!AG423</f>
        <v>0.1</v>
      </c>
      <c r="J233" s="550">
        <f>L_CViec!AH423</f>
        <v>296770.5</v>
      </c>
      <c r="K233" s="705">
        <f>G233*$J233*L_CBac!$G$68</f>
        <v>34128.607499999998</v>
      </c>
      <c r="L233" s="705">
        <f>H233*$J233*L_CBac!$G$68</f>
        <v>34128.607499999998</v>
      </c>
      <c r="M233" s="705">
        <f>I233*$J233*L_CBac!$G$68</f>
        <v>34128.607499999998</v>
      </c>
      <c r="N233" s="705">
        <f>$D233*G233*L_CBac!$J$68</f>
        <v>2556.4500000000003</v>
      </c>
      <c r="O233" s="705">
        <f>$D233*H233*L_CBac!$J$68</f>
        <v>2556.4500000000003</v>
      </c>
      <c r="P233" s="705">
        <f>$D233*I233*L_CBac!$J$68</f>
        <v>2556.4500000000003</v>
      </c>
      <c r="Q233" s="705">
        <f>$D233*G233*L_CBac!$J$69</f>
        <v>2807.6923076923081</v>
      </c>
      <c r="R233" s="705">
        <f>$D233*H233*L_CBac!$J$69</f>
        <v>2807.6923076923081</v>
      </c>
      <c r="S233" s="551">
        <f>$D233*I233*L_CBac!$J$69</f>
        <v>2807.6923076923081</v>
      </c>
    </row>
    <row r="234" spans="1:19" s="552" customFormat="1" ht="97.5" customHeight="1">
      <c r="A234" s="546" t="str">
        <f>L_CViec!A424</f>
        <v>25</v>
      </c>
      <c r="B234" s="559" t="str">
        <f>L_CViec!B424</f>
        <v>Nhập thông tin vào Sổ cấp giấy; gửi thông báo biến động cho cấp tỉnh, xã</v>
      </c>
      <c r="C234" s="548" t="str">
        <f>L_CViec!AB424</f>
        <v>Hồ sơ</v>
      </c>
      <c r="D234" s="548">
        <f>L_CViec!AA424</f>
        <v>1</v>
      </c>
      <c r="E234" s="548" t="str">
        <f>L_CViec!AC424</f>
        <v>1KS2</v>
      </c>
      <c r="F234" s="548" t="str">
        <f>L_CViec!AD424</f>
        <v>1-3</v>
      </c>
      <c r="G234" s="548">
        <f>L_CViec!AE424</f>
        <v>0.37</v>
      </c>
      <c r="H234" s="704">
        <f>L_CViec!AF424</f>
        <v>0.37</v>
      </c>
      <c r="I234" s="704">
        <f>L_CViec!AG424</f>
        <v>0.44400000000000001</v>
      </c>
      <c r="J234" s="550">
        <f>L_CViec!AH424</f>
        <v>296770.5</v>
      </c>
      <c r="K234" s="705">
        <f>G234*$J234*L_CBac!$G$68</f>
        <v>126275.84774999999</v>
      </c>
      <c r="L234" s="705">
        <f>H234*$J234*L_CBac!$G$68</f>
        <v>126275.84774999999</v>
      </c>
      <c r="M234" s="705">
        <f>I234*$J234*L_CBac!$G$68</f>
        <v>151531.01730000001</v>
      </c>
      <c r="N234" s="705">
        <f>$D234*G234*L_CBac!$J$68</f>
        <v>9458.8649999999998</v>
      </c>
      <c r="O234" s="705">
        <f>$D234*H234*L_CBac!$J$68</f>
        <v>9458.8649999999998</v>
      </c>
      <c r="P234" s="705">
        <f>$D234*I234*L_CBac!$J$68</f>
        <v>11350.638000000001</v>
      </c>
      <c r="Q234" s="705">
        <f>$D234*G234*L_CBac!$J$69</f>
        <v>10388.461538461539</v>
      </c>
      <c r="R234" s="705">
        <f>$D234*H234*L_CBac!$J$69</f>
        <v>10388.461538461539</v>
      </c>
      <c r="S234" s="551">
        <f>$D234*I234*L_CBac!$J$69</f>
        <v>12466.153846153848</v>
      </c>
    </row>
    <row r="235" spans="1:19" s="552" customFormat="1" ht="24.95" customHeight="1">
      <c r="A235" s="546" t="str">
        <f>L_CViec!A425</f>
        <v>26</v>
      </c>
      <c r="B235" s="559" t="str">
        <f>L_CViec!B425</f>
        <v>Nhập bổ sung thông tin dữ liệu về GCN</v>
      </c>
      <c r="C235" s="548" t="str">
        <f>L_CViec!AB425</f>
        <v>Thửa</v>
      </c>
      <c r="D235" s="548">
        <f>L_CViec!AA425</f>
        <v>1</v>
      </c>
      <c r="E235" s="548" t="str">
        <f>L_CViec!AC425</f>
        <v>1KS3</v>
      </c>
      <c r="F235" s="548" t="str">
        <f>L_CViec!AD425</f>
        <v>1-3</v>
      </c>
      <c r="G235" s="548">
        <f>L_CViec!AE425</f>
        <v>3.3000000000000002E-2</v>
      </c>
      <c r="H235" s="704">
        <f>L_CViec!AF425</f>
        <v>3.3000000000000002E-2</v>
      </c>
      <c r="I235" s="704">
        <f>L_CViec!AG425</f>
        <v>3.3000000000000002E-2</v>
      </c>
      <c r="J235" s="550">
        <f>L_CViec!AH425</f>
        <v>333450</v>
      </c>
      <c r="K235" s="705">
        <f>G235*$J235*L_CBac!$G$68</f>
        <v>12654.4275</v>
      </c>
      <c r="L235" s="705">
        <f>H235*$J235*L_CBac!$G$68</f>
        <v>12654.4275</v>
      </c>
      <c r="M235" s="705">
        <f>I235*$J235*L_CBac!$G$68</f>
        <v>12654.4275</v>
      </c>
      <c r="N235" s="705">
        <f>$D235*G235*L_CBac!$J$68</f>
        <v>843.62850000000003</v>
      </c>
      <c r="O235" s="705">
        <f>$D235*H235*L_CBac!$J$68</f>
        <v>843.62850000000003</v>
      </c>
      <c r="P235" s="705">
        <f>$D235*I235*L_CBac!$J$68</f>
        <v>843.62850000000003</v>
      </c>
      <c r="Q235" s="705">
        <f>$D235*G235*L_CBac!$J$69</f>
        <v>926.53846153846166</v>
      </c>
      <c r="R235" s="705">
        <f>$D235*H235*L_CBac!$J$69</f>
        <v>926.53846153846166</v>
      </c>
      <c r="S235" s="551">
        <f>$D235*I235*L_CBac!$J$69</f>
        <v>926.53846153846166</v>
      </c>
    </row>
    <row r="236" spans="1:19" s="552" customFormat="1" ht="24.95" customHeight="1">
      <c r="A236" s="546" t="e">
        <f>L_CViec!#REF!</f>
        <v>#REF!</v>
      </c>
      <c r="B236" s="559" t="e">
        <f>L_CViec!#REF!</f>
        <v>#REF!</v>
      </c>
      <c r="C236" s="548" t="e">
        <f>L_CViec!#REF!</f>
        <v>#REF!</v>
      </c>
      <c r="D236" s="548" t="e">
        <f>L_CViec!#REF!</f>
        <v>#REF!</v>
      </c>
      <c r="E236" s="548" t="e">
        <f>L_CViec!#REF!</f>
        <v>#REF!</v>
      </c>
      <c r="F236" s="548" t="e">
        <f>L_CViec!#REF!</f>
        <v>#REF!</v>
      </c>
      <c r="G236" s="548" t="e">
        <f>L_CViec!#REF!</f>
        <v>#REF!</v>
      </c>
      <c r="H236" s="704" t="e">
        <f>L_CViec!#REF!</f>
        <v>#REF!</v>
      </c>
      <c r="I236" s="704" t="e">
        <f>L_CViec!#REF!</f>
        <v>#REF!</v>
      </c>
      <c r="J236" s="550" t="e">
        <f>L_CViec!#REF!</f>
        <v>#REF!</v>
      </c>
      <c r="K236" s="705">
        <f>K237+K240+K241</f>
        <v>11365.976699999999</v>
      </c>
      <c r="L236" s="705">
        <f t="shared" ref="L236:S236" si="28">L237+L240+L241</f>
        <v>11365.976699999999</v>
      </c>
      <c r="M236" s="705">
        <f t="shared" si="28"/>
        <v>13459.709249999996</v>
      </c>
      <c r="N236" s="705">
        <f t="shared" si="28"/>
        <v>971.45100000000002</v>
      </c>
      <c r="O236" s="705">
        <f t="shared" si="28"/>
        <v>971.45100000000002</v>
      </c>
      <c r="P236" s="705">
        <f t="shared" si="28"/>
        <v>1150.4025000000001</v>
      </c>
      <c r="Q236" s="705">
        <f t="shared" si="28"/>
        <v>1066.9230769230769</v>
      </c>
      <c r="R236" s="705">
        <f t="shared" si="28"/>
        <v>1066.9230769230769</v>
      </c>
      <c r="S236" s="551">
        <f t="shared" si="28"/>
        <v>1263.4615384615386</v>
      </c>
    </row>
    <row r="237" spans="1:19" s="558" customFormat="1" ht="51" customHeight="1">
      <c r="A237" s="553" t="str">
        <f>L_CViec!A426</f>
        <v>27</v>
      </c>
      <c r="B237" s="574" t="str">
        <f>L_CViec!B426</f>
        <v>Quét giấy tờ pháp lý về quyền sử dụng đất, quyền sở hữu nhà ở và tài sản khác gắn liền với đất</v>
      </c>
      <c r="C237" s="555">
        <f>L_CViec!AB426</f>
        <v>0</v>
      </c>
      <c r="D237" s="555">
        <f>L_CViec!AA426</f>
        <v>0</v>
      </c>
      <c r="E237" s="555">
        <f>L_CViec!AC426</f>
        <v>0</v>
      </c>
      <c r="F237" s="555">
        <f>L_CViec!AD426</f>
        <v>0</v>
      </c>
      <c r="G237" s="555">
        <f>L_CViec!AE426</f>
        <v>0</v>
      </c>
      <c r="H237" s="706">
        <f>L_CViec!AF426</f>
        <v>0</v>
      </c>
      <c r="I237" s="706">
        <f>L_CViec!AG426</f>
        <v>0</v>
      </c>
      <c r="J237" s="556">
        <f>L_CViec!AH426</f>
        <v>0</v>
      </c>
      <c r="K237" s="707">
        <f t="shared" ref="K237:S237" si="29">SUM(K238:K239)</f>
        <v>7178.5115999999998</v>
      </c>
      <c r="L237" s="707">
        <f t="shared" si="29"/>
        <v>7178.5115999999998</v>
      </c>
      <c r="M237" s="707">
        <f t="shared" si="29"/>
        <v>8973.1394999999975</v>
      </c>
      <c r="N237" s="707">
        <f t="shared" si="29"/>
        <v>613.548</v>
      </c>
      <c r="O237" s="707">
        <f t="shared" si="29"/>
        <v>613.548</v>
      </c>
      <c r="P237" s="707">
        <f t="shared" si="29"/>
        <v>766.93500000000006</v>
      </c>
      <c r="Q237" s="707">
        <f t="shared" si="29"/>
        <v>673.84615384615392</v>
      </c>
      <c r="R237" s="707">
        <f t="shared" si="29"/>
        <v>673.84615384615392</v>
      </c>
      <c r="S237" s="557">
        <f t="shared" si="29"/>
        <v>842.30769230769238</v>
      </c>
    </row>
    <row r="238" spans="1:19" s="558" customFormat="1" ht="24.95" customHeight="1">
      <c r="A238" s="553" t="str">
        <f>L_CViec!A427</f>
        <v>27.1</v>
      </c>
      <c r="B238" s="574" t="str">
        <f>L_CViec!B427</f>
        <v>Quét trang A3</v>
      </c>
      <c r="C238" s="555" t="str">
        <f>L_CViec!AB427</f>
        <v>Trang</v>
      </c>
      <c r="D238" s="555">
        <f>L_CViec!AA427</f>
        <v>1</v>
      </c>
      <c r="E238" s="555" t="str">
        <f>L_CViec!AC427</f>
        <v>1KS1</v>
      </c>
      <c r="F238" s="555" t="str">
        <f>L_CViec!AD427</f>
        <v>1-3</v>
      </c>
      <c r="G238" s="555">
        <f>L_CViec!AE427</f>
        <v>1.6E-2</v>
      </c>
      <c r="H238" s="706">
        <f>L_CViec!AF427</f>
        <v>1.6E-2</v>
      </c>
      <c r="I238" s="706">
        <f>L_CViec!AG427</f>
        <v>0.02</v>
      </c>
      <c r="J238" s="556">
        <f>L_CViec!AH427</f>
        <v>260091</v>
      </c>
      <c r="K238" s="707">
        <f>G238*$J238*L_CBac!$G$68</f>
        <v>4785.6743999999999</v>
      </c>
      <c r="L238" s="707">
        <f>H238*$J238*L_CBac!$G$68</f>
        <v>4785.6743999999999</v>
      </c>
      <c r="M238" s="707">
        <f>I238*$J238*L_CBac!$G$68</f>
        <v>5982.0929999999989</v>
      </c>
      <c r="N238" s="707">
        <f>$D238*G238*L_CBac!$J$68</f>
        <v>409.03199999999998</v>
      </c>
      <c r="O238" s="707">
        <f>$D238*H238*L_CBac!$J$68</f>
        <v>409.03199999999998</v>
      </c>
      <c r="P238" s="707">
        <f>$D238*I238*L_CBac!$J$68</f>
        <v>511.29</v>
      </c>
      <c r="Q238" s="707">
        <f>$D238*G238*L_CBac!$J$69</f>
        <v>449.23076923076928</v>
      </c>
      <c r="R238" s="707">
        <f>$D238*H238*L_CBac!$J$69</f>
        <v>449.23076923076928</v>
      </c>
      <c r="S238" s="557">
        <f>$D238*I238*L_CBac!$J$69</f>
        <v>561.53846153846155</v>
      </c>
    </row>
    <row r="239" spans="1:19" s="558" customFormat="1" ht="24.95" customHeight="1">
      <c r="A239" s="553" t="str">
        <f>L_CViec!A428</f>
        <v>27.2</v>
      </c>
      <c r="B239" s="574" t="str">
        <f>L_CViec!B428</f>
        <v>Quét trang A4</v>
      </c>
      <c r="C239" s="555" t="str">
        <f>L_CViec!AB428</f>
        <v>Trang</v>
      </c>
      <c r="D239" s="555">
        <f>L_CViec!AA428</f>
        <v>1</v>
      </c>
      <c r="E239" s="555" t="str">
        <f>L_CViec!AC428</f>
        <v>1KS1</v>
      </c>
      <c r="F239" s="555" t="str">
        <f>L_CViec!AD428</f>
        <v>1-3</v>
      </c>
      <c r="G239" s="555">
        <f>L_CViec!AE428</f>
        <v>8.0000000000000002E-3</v>
      </c>
      <c r="H239" s="706">
        <f>L_CViec!AF428</f>
        <v>8.0000000000000002E-3</v>
      </c>
      <c r="I239" s="706">
        <f>L_CViec!AG428</f>
        <v>0.01</v>
      </c>
      <c r="J239" s="556">
        <f>L_CViec!AH428</f>
        <v>260091</v>
      </c>
      <c r="K239" s="707">
        <f>G239*$J239*L_CBac!$G$68</f>
        <v>2392.8371999999999</v>
      </c>
      <c r="L239" s="707">
        <f>H239*$J239*L_CBac!$G$68</f>
        <v>2392.8371999999999</v>
      </c>
      <c r="M239" s="707">
        <f>I239*$J239*L_CBac!$G$68</f>
        <v>2991.0464999999995</v>
      </c>
      <c r="N239" s="707">
        <f>$D239*G239*L_CBac!$J$68</f>
        <v>204.51599999999999</v>
      </c>
      <c r="O239" s="707">
        <f>$D239*H239*L_CBac!$J$68</f>
        <v>204.51599999999999</v>
      </c>
      <c r="P239" s="707">
        <f>$D239*I239*L_CBac!$J$68</f>
        <v>255.64500000000001</v>
      </c>
      <c r="Q239" s="707">
        <f>$D239*G239*L_CBac!$J$69</f>
        <v>224.61538461538464</v>
      </c>
      <c r="R239" s="707">
        <f>$D239*H239*L_CBac!$J$69</f>
        <v>224.61538461538464</v>
      </c>
      <c r="S239" s="557">
        <f>$D239*I239*L_CBac!$J$69</f>
        <v>280.76923076923077</v>
      </c>
    </row>
    <row r="240" spans="1:19" s="558" customFormat="1" ht="55.5" customHeight="1">
      <c r="A240" s="553" t="str">
        <f>L_CViec!A429</f>
        <v>28</v>
      </c>
      <c r="B240" s="574" t="str">
        <f>L_CViec!B429</f>
        <v>Xử lý các tệp tin quét thành tệp (File) hồ sơ quét dạng số của thửa đất, lưu trữ dưới khuôn dạng tệp tin PDF</v>
      </c>
      <c r="C240" s="555" t="str">
        <f>L_CViec!AB429</f>
        <v>Trang</v>
      </c>
      <c r="D240" s="555">
        <f>L_CViec!AA429</f>
        <v>1</v>
      </c>
      <c r="E240" s="555" t="str">
        <f>L_CViec!AC429</f>
        <v>1KS1</v>
      </c>
      <c r="F240" s="555" t="str">
        <f>L_CViec!AD429</f>
        <v>1-3</v>
      </c>
      <c r="G240" s="555">
        <f>L_CViec!AE429</f>
        <v>4.0000000000000001E-3</v>
      </c>
      <c r="H240" s="706">
        <f>L_CViec!AF429</f>
        <v>4.0000000000000001E-3</v>
      </c>
      <c r="I240" s="706">
        <f>L_CViec!AG429</f>
        <v>5.0000000000000001E-3</v>
      </c>
      <c r="J240" s="556">
        <f>L_CViec!AH429</f>
        <v>260091</v>
      </c>
      <c r="K240" s="707">
        <f>G240*$J240*L_CBac!$G$68</f>
        <v>1196.4186</v>
      </c>
      <c r="L240" s="707">
        <f>H240*$J240*L_CBac!$G$68</f>
        <v>1196.4186</v>
      </c>
      <c r="M240" s="707">
        <f>I240*$J240*L_CBac!$G$68</f>
        <v>1495.5232499999997</v>
      </c>
      <c r="N240" s="707">
        <f>$D240*G240*L_CBac!$J$68</f>
        <v>102.258</v>
      </c>
      <c r="O240" s="707">
        <f>$D240*H240*L_CBac!$J$68</f>
        <v>102.258</v>
      </c>
      <c r="P240" s="707">
        <f>$D240*I240*L_CBac!$J$68</f>
        <v>127.82250000000001</v>
      </c>
      <c r="Q240" s="707">
        <f>$D240*G240*L_CBac!$J$69</f>
        <v>112.30769230769232</v>
      </c>
      <c r="R240" s="707">
        <f>$D240*H240*L_CBac!$J$69</f>
        <v>112.30769230769232</v>
      </c>
      <c r="S240" s="557">
        <f>$D240*I240*L_CBac!$J$69</f>
        <v>140.38461538461539</v>
      </c>
    </row>
    <row r="241" spans="1:19" s="558" customFormat="1" ht="39.950000000000003" customHeight="1">
      <c r="A241" s="818" t="str">
        <f>L_CViec!A430</f>
        <v>29</v>
      </c>
      <c r="B241" s="819" t="str">
        <f>L_CViec!B430</f>
        <v>Tạo liên kết hồ sơ quét dạng số với thửa đất trong cơ sở dữ liệu</v>
      </c>
      <c r="C241" s="820" t="str">
        <f>L_CViec!AB430</f>
        <v>Thửa</v>
      </c>
      <c r="D241" s="820">
        <f>L_CViec!AA430</f>
        <v>1</v>
      </c>
      <c r="E241" s="820" t="str">
        <f>L_CViec!AC430</f>
        <v>1KS1</v>
      </c>
      <c r="F241" s="820" t="str">
        <f>L_CViec!AD430</f>
        <v>1-3</v>
      </c>
      <c r="G241" s="820">
        <f>L_CViec!AE430</f>
        <v>0.01</v>
      </c>
      <c r="H241" s="821">
        <f>L_CViec!AF430</f>
        <v>0.01</v>
      </c>
      <c r="I241" s="821">
        <f>L_CViec!AG430</f>
        <v>0.01</v>
      </c>
      <c r="J241" s="822">
        <f>L_CViec!AH430</f>
        <v>260091</v>
      </c>
      <c r="K241" s="823">
        <f>G241*$J241*L_CBac!$G$68</f>
        <v>2991.0464999999995</v>
      </c>
      <c r="L241" s="823">
        <f>H241*$J241*L_CBac!$G$68</f>
        <v>2991.0464999999995</v>
      </c>
      <c r="M241" s="823">
        <f>I241*$J241*L_CBac!$G$68</f>
        <v>2991.0464999999995</v>
      </c>
      <c r="N241" s="823">
        <f>$D241*G241*L_CBac!$J$68</f>
        <v>255.64500000000001</v>
      </c>
      <c r="O241" s="823">
        <f>$D241*H241*L_CBac!$J$68</f>
        <v>255.64500000000001</v>
      </c>
      <c r="P241" s="823">
        <f>$D241*I241*L_CBac!$J$68</f>
        <v>255.64500000000001</v>
      </c>
      <c r="Q241" s="823">
        <f>$D241*G241*L_CBac!$J$69</f>
        <v>280.76923076923077</v>
      </c>
      <c r="R241" s="823">
        <f>$D241*H241*L_CBac!$J$69</f>
        <v>280.76923076923077</v>
      </c>
      <c r="S241" s="824">
        <f>$D241*I241*L_CBac!$J$69</f>
        <v>280.76923076923077</v>
      </c>
    </row>
    <row r="242" spans="1:19" s="552" customFormat="1" ht="39.950000000000003" customHeight="1">
      <c r="A242" s="650">
        <f>L_CViec!A433</f>
        <v>0</v>
      </c>
      <c r="B242" s="1750">
        <f>L_CViec!B433</f>
        <v>0</v>
      </c>
      <c r="C242" s="1751">
        <f>L_CViec!AB433</f>
        <v>0</v>
      </c>
      <c r="D242" s="1752">
        <f>L_CViec!AA433</f>
        <v>0</v>
      </c>
      <c r="E242" s="629">
        <f>L_CViec!AC433</f>
        <v>0</v>
      </c>
      <c r="F242" s="629">
        <f>L_CViec!AD433</f>
        <v>0</v>
      </c>
      <c r="G242" s="628">
        <f>L_CViec!AE433</f>
        <v>0</v>
      </c>
      <c r="H242" s="630">
        <f>L_CViec!AF433</f>
        <v>0</v>
      </c>
      <c r="I242" s="630">
        <f>L_CViec!AG433</f>
        <v>0</v>
      </c>
      <c r="J242" s="630">
        <f>L_CViec!AH433</f>
        <v>0</v>
      </c>
      <c r="K242" s="703">
        <f>K243</f>
        <v>0</v>
      </c>
      <c r="L242" s="703">
        <f t="shared" ref="L242:S242" si="30">L243</f>
        <v>0</v>
      </c>
      <c r="M242" s="703">
        <f t="shared" si="30"/>
        <v>0</v>
      </c>
      <c r="N242" s="703">
        <f t="shared" si="30"/>
        <v>0</v>
      </c>
      <c r="O242" s="703">
        <f t="shared" si="30"/>
        <v>0</v>
      </c>
      <c r="P242" s="703">
        <f t="shared" si="30"/>
        <v>0</v>
      </c>
      <c r="Q242" s="703">
        <f t="shared" si="30"/>
        <v>0</v>
      </c>
      <c r="R242" s="703">
        <f t="shared" si="30"/>
        <v>0</v>
      </c>
      <c r="S242" s="538">
        <f t="shared" si="30"/>
        <v>0</v>
      </c>
    </row>
    <row r="243" spans="1:19" s="552" customFormat="1" ht="39.950000000000003" customHeight="1">
      <c r="A243" s="683">
        <f>L_CViec!A434</f>
        <v>0</v>
      </c>
      <c r="B243" s="684">
        <f>L_CViec!B434</f>
        <v>0</v>
      </c>
      <c r="C243" s="685">
        <f>L_CViec!AB434</f>
        <v>0</v>
      </c>
      <c r="D243" s="685">
        <f>L_CViec!AA434</f>
        <v>0</v>
      </c>
      <c r="E243" s="685">
        <f>L_CViec!AC434</f>
        <v>0</v>
      </c>
      <c r="F243" s="685">
        <f>L_CViec!AD434</f>
        <v>0</v>
      </c>
      <c r="G243" s="685">
        <f>L_CViec!AE434</f>
        <v>0</v>
      </c>
      <c r="H243" s="814">
        <f>L_CViec!AF434</f>
        <v>0</v>
      </c>
      <c r="I243" s="814">
        <f>L_CViec!AG434</f>
        <v>0</v>
      </c>
      <c r="J243" s="686">
        <f>L_CViec!AH434</f>
        <v>0</v>
      </c>
      <c r="K243" s="815">
        <f>G243*$J243*L_CBac!$G$68</f>
        <v>0</v>
      </c>
      <c r="L243" s="815">
        <f>H243*$J243*L_CBac!$G$68</f>
        <v>0</v>
      </c>
      <c r="M243" s="815">
        <f>I243*$J243*L_CBac!$G$68</f>
        <v>0</v>
      </c>
      <c r="N243" s="815">
        <f>$D243*G243*L_CBac!$J$68</f>
        <v>0</v>
      </c>
      <c r="O243" s="815">
        <f>$D243*H243*L_CBac!$J$68</f>
        <v>0</v>
      </c>
      <c r="P243" s="815">
        <f>$D243*I243*L_CBac!$J$68</f>
        <v>0</v>
      </c>
      <c r="Q243" s="815">
        <f>$D243*G243*L_CBac!$J$69</f>
        <v>0</v>
      </c>
      <c r="R243" s="815">
        <f>$D243*H243*L_CBac!$J$69</f>
        <v>0</v>
      </c>
      <c r="S243" s="816">
        <f>$D243*I243*L_CBac!$J$69</f>
        <v>0</v>
      </c>
    </row>
    <row r="244" spans="1:19" s="552" customFormat="1" ht="39.950000000000003" customHeight="1">
      <c r="A244" s="650" t="e">
        <f>L_CViec!#REF!</f>
        <v>#REF!</v>
      </c>
      <c r="B244" s="1750" t="e">
        <f>L_CViec!#REF!</f>
        <v>#REF!</v>
      </c>
      <c r="C244" s="1751" t="e">
        <f>L_CViec!#REF!</f>
        <v>#REF!</v>
      </c>
      <c r="D244" s="1752" t="e">
        <f>L_CViec!#REF!</f>
        <v>#REF!</v>
      </c>
      <c r="E244" s="629" t="e">
        <f>L_CViec!#REF!</f>
        <v>#REF!</v>
      </c>
      <c r="F244" s="629" t="e">
        <f>L_CViec!#REF!</f>
        <v>#REF!</v>
      </c>
      <c r="G244" s="628" t="e">
        <f>L_CViec!#REF!</f>
        <v>#REF!</v>
      </c>
      <c r="H244" s="630" t="e">
        <f>L_CViec!#REF!</f>
        <v>#REF!</v>
      </c>
      <c r="I244" s="630" t="e">
        <f>L_CViec!#REF!</f>
        <v>#REF!</v>
      </c>
      <c r="J244" s="630" t="e">
        <f>L_CViec!#REF!</f>
        <v>#REF!</v>
      </c>
      <c r="K244" s="703" t="e">
        <f>K245</f>
        <v>#REF!</v>
      </c>
      <c r="L244" s="703" t="e">
        <f t="shared" ref="L244:S244" si="31">L245</f>
        <v>#REF!</v>
      </c>
      <c r="M244" s="703" t="e">
        <f t="shared" si="31"/>
        <v>#REF!</v>
      </c>
      <c r="N244" s="703" t="e">
        <f t="shared" si="31"/>
        <v>#REF!</v>
      </c>
      <c r="O244" s="703" t="e">
        <f t="shared" si="31"/>
        <v>#REF!</v>
      </c>
      <c r="P244" s="703" t="e">
        <f t="shared" si="31"/>
        <v>#REF!</v>
      </c>
      <c r="Q244" s="703" t="e">
        <f t="shared" si="31"/>
        <v>#REF!</v>
      </c>
      <c r="R244" s="703" t="e">
        <f t="shared" si="31"/>
        <v>#REF!</v>
      </c>
      <c r="S244" s="538" t="e">
        <f t="shared" si="31"/>
        <v>#REF!</v>
      </c>
    </row>
    <row r="245" spans="1:19" s="552" customFormat="1" ht="39.950000000000003" customHeight="1">
      <c r="A245" s="683" t="e">
        <f>L_CViec!#REF!</f>
        <v>#REF!</v>
      </c>
      <c r="B245" s="684" t="e">
        <f>L_CViec!#REF!</f>
        <v>#REF!</v>
      </c>
      <c r="C245" s="685" t="e">
        <f>L_CViec!#REF!</f>
        <v>#REF!</v>
      </c>
      <c r="D245" s="685" t="e">
        <f>L_CViec!#REF!</f>
        <v>#REF!</v>
      </c>
      <c r="E245" s="685" t="e">
        <f>L_CViec!#REF!</f>
        <v>#REF!</v>
      </c>
      <c r="F245" s="685" t="e">
        <f>L_CViec!#REF!</f>
        <v>#REF!</v>
      </c>
      <c r="G245" s="685" t="e">
        <f>L_CViec!#REF!</f>
        <v>#REF!</v>
      </c>
      <c r="H245" s="814" t="e">
        <f>L_CViec!#REF!</f>
        <v>#REF!</v>
      </c>
      <c r="I245" s="814" t="e">
        <f>L_CViec!#REF!</f>
        <v>#REF!</v>
      </c>
      <c r="J245" s="686" t="e">
        <f>L_CViec!#REF!</f>
        <v>#REF!</v>
      </c>
      <c r="K245" s="815" t="e">
        <f>G245*$J245*L_CBac!$G$68</f>
        <v>#REF!</v>
      </c>
      <c r="L245" s="815" t="e">
        <f>H245*$J245*L_CBac!$G$68</f>
        <v>#REF!</v>
      </c>
      <c r="M245" s="815" t="e">
        <f>I245*$J245*L_CBac!$G$68</f>
        <v>#REF!</v>
      </c>
      <c r="N245" s="815" t="e">
        <f>$D245*G245*L_CBac!$J$68</f>
        <v>#REF!</v>
      </c>
      <c r="O245" s="815" t="e">
        <f>$D245*H245*L_CBac!$J$68</f>
        <v>#REF!</v>
      </c>
      <c r="P245" s="815" t="e">
        <f>$D245*I245*L_CBac!$J$68</f>
        <v>#REF!</v>
      </c>
      <c r="Q245" s="815" t="e">
        <f>$D245*G245*L_CBac!$J$69</f>
        <v>#REF!</v>
      </c>
      <c r="R245" s="815" t="e">
        <f>$D245*H245*L_CBac!$J$69</f>
        <v>#REF!</v>
      </c>
      <c r="S245" s="816" t="e">
        <f>$D245*I245*L_CBac!$J$69</f>
        <v>#REF!</v>
      </c>
    </row>
    <row r="246" spans="1:19" s="552" customFormat="1" ht="39.950000000000003" customHeight="1">
      <c r="A246" s="687" t="str">
        <f>L_CViec!A435</f>
        <v>VII.2</v>
      </c>
      <c r="B246" s="682" t="str">
        <f>L_CViec!B435</f>
        <v>GHI CHÚ</v>
      </c>
      <c r="C246" s="682">
        <f>L_CViec!AB435</f>
        <v>0</v>
      </c>
      <c r="D246" s="682"/>
      <c r="E246" s="682">
        <f>L_CViec!AC435</f>
        <v>0</v>
      </c>
      <c r="F246" s="682">
        <f>L_CViec!AD435</f>
        <v>0</v>
      </c>
      <c r="G246" s="682">
        <f>L_CViec!AE435</f>
        <v>0</v>
      </c>
      <c r="H246" s="627">
        <f>L_CViec!AF435</f>
        <v>0</v>
      </c>
      <c r="I246" s="627">
        <f>L_CViec!AG435</f>
        <v>0</v>
      </c>
      <c r="J246" s="627">
        <f>L_CViec!AH435</f>
        <v>0</v>
      </c>
      <c r="K246" s="722"/>
      <c r="L246" s="722"/>
      <c r="M246" s="722"/>
      <c r="N246" s="722"/>
      <c r="O246" s="722"/>
      <c r="P246" s="722"/>
      <c r="Q246" s="722"/>
      <c r="R246" s="722"/>
      <c r="S246" s="689"/>
    </row>
    <row r="247" spans="1:19" s="552" customFormat="1" ht="39.950000000000003" customHeight="1">
      <c r="A247" s="546" t="str">
        <f>L_CViec!A436</f>
        <v>1</v>
      </c>
      <c r="B247" s="1733" t="str">
        <f>L_CViec!B436</f>
        <v>Cột “ĐM Đất” áp dụng cho trường hợp đăng ký, cấp GCN đối với đất; cột “ĐM TS” áp dụng cho trường hợp đăng ký, cấp GCN đối với tài sản; cột “ĐM Đất + TS” áp dụng đối với trường hợp đăng ký, cấp GCN đối với cả đất và tài sản gắn liền với đất</v>
      </c>
      <c r="C247" s="1734"/>
      <c r="D247" s="1734"/>
      <c r="E247" s="1734"/>
      <c r="F247" s="1734"/>
      <c r="G247" s="1734"/>
      <c r="H247" s="1734"/>
      <c r="I247" s="1734"/>
      <c r="J247" s="1734"/>
      <c r="K247" s="1734"/>
      <c r="L247" s="1734"/>
      <c r="M247" s="1809"/>
      <c r="N247" s="705"/>
      <c r="O247" s="705"/>
      <c r="P247" s="705"/>
      <c r="Q247" s="705"/>
      <c r="R247" s="705"/>
      <c r="S247" s="551"/>
    </row>
    <row r="248" spans="1:19" s="552" customFormat="1" ht="39.950000000000003" customHeight="1" thickBot="1">
      <c r="A248" s="593" t="str">
        <f>L_CViec!A437</f>
        <v>2</v>
      </c>
      <c r="B248" s="1810" t="str">
        <f>L_CViec!B437</f>
        <v>Trường hợp đăng ký biến động đất đai mà thực hiện cấp mới GCN thì áp dụng định mức của Bảng này. Trường hợp đăng ký biến động đất đai mà không thực hiện cấp mới GCN thì áp dụng theo quy định tại Bảng 15 sau đây</v>
      </c>
      <c r="C248" s="1811"/>
      <c r="D248" s="1811"/>
      <c r="E248" s="1811"/>
      <c r="F248" s="1811"/>
      <c r="G248" s="1811"/>
      <c r="H248" s="1811"/>
      <c r="I248" s="1811"/>
      <c r="J248" s="1811"/>
      <c r="K248" s="1811"/>
      <c r="L248" s="1811"/>
      <c r="M248" s="1812"/>
      <c r="N248" s="825"/>
      <c r="O248" s="825"/>
      <c r="P248" s="825"/>
      <c r="Q248" s="825"/>
      <c r="R248" s="825"/>
      <c r="S248" s="721"/>
    </row>
    <row r="249" spans="1:19" s="552" customFormat="1" ht="39.950000000000003" customHeight="1">
      <c r="A249" s="598"/>
      <c r="N249" s="826"/>
      <c r="O249" s="826"/>
      <c r="P249" s="826"/>
      <c r="Q249" s="826"/>
      <c r="R249" s="826"/>
      <c r="S249" s="826"/>
    </row>
    <row r="250" spans="1:19" s="552" customFormat="1" ht="39.950000000000003" customHeight="1">
      <c r="A250" s="598"/>
      <c r="N250" s="826"/>
      <c r="O250" s="826"/>
      <c r="P250" s="826"/>
      <c r="Q250" s="826"/>
      <c r="R250" s="826"/>
      <c r="S250" s="826"/>
    </row>
    <row r="251" spans="1:19" s="85" customFormat="1">
      <c r="A251" s="168"/>
      <c r="B251" s="169"/>
      <c r="C251" s="168"/>
      <c r="D251" s="168"/>
      <c r="E251" s="168"/>
      <c r="F251" s="168"/>
      <c r="G251" s="168"/>
      <c r="H251" s="170"/>
      <c r="I251" s="170"/>
      <c r="J251" s="170"/>
      <c r="K251" s="170"/>
      <c r="L251" s="84"/>
    </row>
    <row r="252" spans="1:19" s="37" customFormat="1" ht="19.5" customHeight="1" thickBot="1">
      <c r="A252" s="32" t="s">
        <v>348</v>
      </c>
      <c r="B252" s="33"/>
      <c r="C252" s="34"/>
      <c r="D252" s="34"/>
      <c r="E252" s="34"/>
      <c r="F252" s="34"/>
      <c r="G252" s="35"/>
      <c r="H252" s="36"/>
      <c r="I252" s="36"/>
      <c r="J252" s="36"/>
      <c r="K252" s="36"/>
    </row>
    <row r="253" spans="1:19" s="31" customFormat="1" ht="15" customHeight="1">
      <c r="A253" s="1788" t="s">
        <v>24</v>
      </c>
      <c r="B253" s="1790" t="s">
        <v>320</v>
      </c>
      <c r="C253" s="1792" t="s">
        <v>321</v>
      </c>
      <c r="D253" s="1793"/>
      <c r="E253" s="1793"/>
      <c r="F253" s="1794"/>
      <c r="G253" s="1798" t="s">
        <v>322</v>
      </c>
      <c r="H253" s="1799"/>
      <c r="I253" s="1800"/>
      <c r="J253" s="1804" t="s">
        <v>351</v>
      </c>
      <c r="K253" s="1465" t="s">
        <v>36</v>
      </c>
      <c r="L253" s="1466"/>
      <c r="M253" s="1806"/>
      <c r="N253" s="1465" t="s">
        <v>355</v>
      </c>
      <c r="O253" s="1466"/>
      <c r="P253" s="1806"/>
      <c r="Q253" s="1465" t="s">
        <v>356</v>
      </c>
      <c r="R253" s="1466"/>
      <c r="S253" s="1467"/>
    </row>
    <row r="254" spans="1:19" s="31" customFormat="1" ht="25.5">
      <c r="A254" s="1789"/>
      <c r="B254" s="1791"/>
      <c r="C254" s="1795"/>
      <c r="D254" s="1796"/>
      <c r="E254" s="1796"/>
      <c r="F254" s="1797"/>
      <c r="G254" s="1801"/>
      <c r="H254" s="1802"/>
      <c r="I254" s="1803"/>
      <c r="J254" s="1805"/>
      <c r="K254" s="161" t="s">
        <v>359</v>
      </c>
      <c r="L254" s="161" t="s">
        <v>358</v>
      </c>
      <c r="M254" s="161" t="s">
        <v>357</v>
      </c>
      <c r="N254" s="147" t="s">
        <v>359</v>
      </c>
      <c r="O254" s="156" t="s">
        <v>358</v>
      </c>
      <c r="P254" s="162" t="s">
        <v>357</v>
      </c>
      <c r="Q254" s="164" t="s">
        <v>359</v>
      </c>
      <c r="R254" s="157" t="s">
        <v>358</v>
      </c>
      <c r="S254" s="163" t="s">
        <v>357</v>
      </c>
    </row>
    <row r="255" spans="1:19" s="85" customFormat="1" ht="70.5" customHeight="1">
      <c r="A255" s="122" t="e">
        <f>L_CViec!#REF!</f>
        <v>#REF!</v>
      </c>
      <c r="B255" s="80" t="e">
        <f>L_CViec!#REF!</f>
        <v>#REF!</v>
      </c>
      <c r="C255" s="1764" t="e">
        <f>L_CViec!#REF!</f>
        <v>#REF!</v>
      </c>
      <c r="D255" s="1765"/>
      <c r="E255" s="1765"/>
      <c r="F255" s="1766"/>
      <c r="G255" s="78" t="e">
        <f>L_CViec!#REF!</f>
        <v>#REF!</v>
      </c>
      <c r="H255" s="95"/>
      <c r="I255" s="95"/>
      <c r="J255" s="95"/>
      <c r="K255" s="152" t="e">
        <f>SUM(K$217,K$220,K$222,K$232,K$234,K$236,K$243)+SUM(K$221,K$228,K$235)*$G255</f>
        <v>#REF!</v>
      </c>
      <c r="L255" s="152" t="e">
        <f t="shared" ref="L255:S256" si="32">SUM(L$217,L$220,L$222,L$232,L$234,L$236,L$243)+SUM(L$221,L$228,L$235)*$G255</f>
        <v>#REF!</v>
      </c>
      <c r="M255" s="152" t="e">
        <f t="shared" si="32"/>
        <v>#REF!</v>
      </c>
      <c r="N255" s="152" t="e">
        <f t="shared" si="32"/>
        <v>#REF!</v>
      </c>
      <c r="O255" s="152" t="e">
        <f t="shared" si="32"/>
        <v>#REF!</v>
      </c>
      <c r="P255" s="152" t="e">
        <f t="shared" si="32"/>
        <v>#REF!</v>
      </c>
      <c r="Q255" s="152" t="e">
        <f t="shared" si="32"/>
        <v>#REF!</v>
      </c>
      <c r="R255" s="152" t="e">
        <f t="shared" si="32"/>
        <v>#REF!</v>
      </c>
      <c r="S255" s="96" t="e">
        <f t="shared" si="32"/>
        <v>#REF!</v>
      </c>
    </row>
    <row r="256" spans="1:19" s="85" customFormat="1" ht="67.5" customHeight="1">
      <c r="A256" s="122" t="e">
        <f>L_CViec!#REF!</f>
        <v>#REF!</v>
      </c>
      <c r="B256" s="80" t="e">
        <f>L_CViec!#REF!</f>
        <v>#REF!</v>
      </c>
      <c r="C256" s="1764" t="e">
        <f>L_CViec!#REF!</f>
        <v>#REF!</v>
      </c>
      <c r="D256" s="1765"/>
      <c r="E256" s="1765"/>
      <c r="F256" s="1766"/>
      <c r="G256" s="78" t="e">
        <f>L_CViec!#REF!</f>
        <v>#REF!</v>
      </c>
      <c r="H256" s="95"/>
      <c r="I256" s="95"/>
      <c r="J256" s="95"/>
      <c r="K256" s="152" t="e">
        <f>SUM(K$217,K$220,K$222,K$232,K$234,K$236,K$243)+SUM(K$221,K$228,K$235)*$G256</f>
        <v>#REF!</v>
      </c>
      <c r="L256" s="152" t="e">
        <f t="shared" si="32"/>
        <v>#REF!</v>
      </c>
      <c r="M256" s="152" t="e">
        <f t="shared" si="32"/>
        <v>#REF!</v>
      </c>
      <c r="N256" s="152" t="e">
        <f t="shared" si="32"/>
        <v>#REF!</v>
      </c>
      <c r="O256" s="152" t="e">
        <f t="shared" si="32"/>
        <v>#REF!</v>
      </c>
      <c r="P256" s="152" t="e">
        <f t="shared" si="32"/>
        <v>#REF!</v>
      </c>
      <c r="Q256" s="152" t="e">
        <f t="shared" si="32"/>
        <v>#REF!</v>
      </c>
      <c r="R256" s="152" t="e">
        <f t="shared" si="32"/>
        <v>#REF!</v>
      </c>
      <c r="S256" s="96" t="e">
        <f t="shared" si="32"/>
        <v>#REF!</v>
      </c>
    </row>
    <row r="257" spans="1:19" s="85" customFormat="1" ht="69.75" customHeight="1">
      <c r="A257" s="122" t="e">
        <f>L_CViec!#REF!</f>
        <v>#REF!</v>
      </c>
      <c r="B257" s="80" t="e">
        <f>L_CViec!#REF!</f>
        <v>#REF!</v>
      </c>
      <c r="C257" s="1764" t="e">
        <f>L_CViec!#REF!</f>
        <v>#REF!</v>
      </c>
      <c r="D257" s="1765"/>
      <c r="E257" s="1765"/>
      <c r="F257" s="1766"/>
      <c r="G257" s="78" t="e">
        <f>L_CViec!#REF!</f>
        <v>#REF!</v>
      </c>
      <c r="H257" s="95"/>
      <c r="I257" s="95"/>
      <c r="J257" s="95"/>
      <c r="K257" s="152" t="e">
        <f>SUM(K$217,K$220,K$222,K$224,K$232,K$234,K$236,K$243)+SUM(K$221,K$228,K$235)*$G257</f>
        <v>#REF!</v>
      </c>
      <c r="L257" s="152" t="e">
        <f t="shared" ref="L257:S257" si="33">SUM(L$217,L$220,L$222,L$224,L$232,L$234,L$236,L$243)+SUM(L$221,L$228,L$235)*$G257</f>
        <v>#REF!</v>
      </c>
      <c r="M257" s="152" t="e">
        <f t="shared" si="33"/>
        <v>#REF!</v>
      </c>
      <c r="N257" s="152" t="e">
        <f t="shared" si="33"/>
        <v>#REF!</v>
      </c>
      <c r="O257" s="152" t="e">
        <f t="shared" si="33"/>
        <v>#REF!</v>
      </c>
      <c r="P257" s="152" t="e">
        <f t="shared" si="33"/>
        <v>#REF!</v>
      </c>
      <c r="Q257" s="152" t="e">
        <f t="shared" si="33"/>
        <v>#REF!</v>
      </c>
      <c r="R257" s="152" t="e">
        <f t="shared" si="33"/>
        <v>#REF!</v>
      </c>
      <c r="S257" s="96" t="e">
        <f t="shared" si="33"/>
        <v>#REF!</v>
      </c>
    </row>
    <row r="258" spans="1:19" s="85" customFormat="1" ht="60.6" customHeight="1">
      <c r="A258" s="122" t="e">
        <f>L_CViec!#REF!</f>
        <v>#REF!</v>
      </c>
      <c r="B258" s="80" t="e">
        <f>L_CViec!#REF!</f>
        <v>#REF!</v>
      </c>
      <c r="C258" s="1764" t="e">
        <f>L_CViec!#REF!</f>
        <v>#REF!</v>
      </c>
      <c r="D258" s="1765"/>
      <c r="E258" s="1765"/>
      <c r="F258" s="1766"/>
      <c r="G258" s="78" t="e">
        <f>L_CViec!#REF!</f>
        <v>#REF!</v>
      </c>
      <c r="H258" s="95"/>
      <c r="I258" s="95"/>
      <c r="J258" s="95"/>
      <c r="K258" s="152" t="e">
        <f>SUM(K$217,K$220,K$222,K$232,K$234,K$236,K$243)+SUM(K$221,K$228,K$235)*$G258</f>
        <v>#REF!</v>
      </c>
      <c r="L258" s="152" t="e">
        <f t="shared" ref="L258:S258" si="34">SUM(L$217,L$220,L$222,L$232,L$234,L$236,L$243)+SUM(L$221,L$228,L$235)*$G258</f>
        <v>#REF!</v>
      </c>
      <c r="M258" s="152" t="e">
        <f t="shared" si="34"/>
        <v>#REF!</v>
      </c>
      <c r="N258" s="152" t="e">
        <f t="shared" si="34"/>
        <v>#REF!</v>
      </c>
      <c r="O258" s="152" t="e">
        <f t="shared" si="34"/>
        <v>#REF!</v>
      </c>
      <c r="P258" s="152" t="e">
        <f t="shared" si="34"/>
        <v>#REF!</v>
      </c>
      <c r="Q258" s="152" t="e">
        <f t="shared" si="34"/>
        <v>#REF!</v>
      </c>
      <c r="R258" s="152" t="e">
        <f t="shared" si="34"/>
        <v>#REF!</v>
      </c>
      <c r="S258" s="96" t="e">
        <f t="shared" si="34"/>
        <v>#REF!</v>
      </c>
    </row>
    <row r="259" spans="1:19" s="85" customFormat="1" ht="60.6" customHeight="1">
      <c r="A259" s="122" t="e">
        <f>L_CViec!#REF!</f>
        <v>#REF!</v>
      </c>
      <c r="B259" s="80" t="e">
        <f>L_CViec!#REF!</f>
        <v>#REF!</v>
      </c>
      <c r="C259" s="1764" t="e">
        <f>L_CViec!#REF!</f>
        <v>#REF!</v>
      </c>
      <c r="D259" s="1765"/>
      <c r="E259" s="1765"/>
      <c r="F259" s="1766"/>
      <c r="G259" s="78" t="e">
        <f>L_CViec!#REF!</f>
        <v>#REF!</v>
      </c>
      <c r="H259" s="95"/>
      <c r="I259" s="95"/>
      <c r="J259" s="95"/>
      <c r="K259" s="152" t="e">
        <f>$G259*K228+K234</f>
        <v>#REF!</v>
      </c>
      <c r="L259" s="152" t="e">
        <f t="shared" ref="L259:S259" si="35">$G259*L228+L234</f>
        <v>#REF!</v>
      </c>
      <c r="M259" s="152" t="e">
        <f t="shared" si="35"/>
        <v>#REF!</v>
      </c>
      <c r="N259" s="152" t="e">
        <f t="shared" si="35"/>
        <v>#REF!</v>
      </c>
      <c r="O259" s="152" t="e">
        <f t="shared" si="35"/>
        <v>#REF!</v>
      </c>
      <c r="P259" s="152" t="e">
        <f t="shared" si="35"/>
        <v>#REF!</v>
      </c>
      <c r="Q259" s="152" t="e">
        <f t="shared" si="35"/>
        <v>#REF!</v>
      </c>
      <c r="R259" s="152" t="e">
        <f t="shared" si="35"/>
        <v>#REF!</v>
      </c>
      <c r="S259" s="96" t="e">
        <f t="shared" si="35"/>
        <v>#REF!</v>
      </c>
    </row>
    <row r="260" spans="1:19" s="85" customFormat="1" ht="68.25" customHeight="1">
      <c r="A260" s="122" t="e">
        <f>L_CViec!#REF!</f>
        <v>#REF!</v>
      </c>
      <c r="B260" s="80" t="e">
        <f>L_CViec!#REF!</f>
        <v>#REF!</v>
      </c>
      <c r="C260" s="1764" t="e">
        <f>L_CViec!#REF!</f>
        <v>#REF!</v>
      </c>
      <c r="D260" s="1765"/>
      <c r="E260" s="1765"/>
      <c r="F260" s="1766"/>
      <c r="G260" s="78" t="e">
        <f>L_CViec!#REF!</f>
        <v>#REF!</v>
      </c>
      <c r="H260" s="95"/>
      <c r="I260" s="95"/>
      <c r="J260" s="95"/>
      <c r="K260" s="152" t="e">
        <f>SUM(K$217,K$220,K$222,K$232,K$234,K$236,K$243)+SUM(K$221,K$228,K$235)*$G260</f>
        <v>#REF!</v>
      </c>
      <c r="L260" s="152" t="e">
        <f t="shared" ref="L260:S261" si="36">SUM(L$217,L$220,L$222,L$232,L$234,L$236,L$243)+SUM(L$221,L$228,L$235)*$G260</f>
        <v>#REF!</v>
      </c>
      <c r="M260" s="152" t="e">
        <f t="shared" si="36"/>
        <v>#REF!</v>
      </c>
      <c r="N260" s="152" t="e">
        <f t="shared" si="36"/>
        <v>#REF!</v>
      </c>
      <c r="O260" s="152" t="e">
        <f t="shared" si="36"/>
        <v>#REF!</v>
      </c>
      <c r="P260" s="152" t="e">
        <f t="shared" si="36"/>
        <v>#REF!</v>
      </c>
      <c r="Q260" s="152" t="e">
        <f t="shared" si="36"/>
        <v>#REF!</v>
      </c>
      <c r="R260" s="152" t="e">
        <f t="shared" si="36"/>
        <v>#REF!</v>
      </c>
      <c r="S260" s="96" t="e">
        <f t="shared" si="36"/>
        <v>#REF!</v>
      </c>
    </row>
    <row r="261" spans="1:19" s="85" customFormat="1" ht="69.75" customHeight="1">
      <c r="A261" s="122" t="e">
        <f>L_CViec!#REF!</f>
        <v>#REF!</v>
      </c>
      <c r="B261" s="80" t="e">
        <f>L_CViec!#REF!</f>
        <v>#REF!</v>
      </c>
      <c r="C261" s="1764" t="e">
        <f>L_CViec!#REF!</f>
        <v>#REF!</v>
      </c>
      <c r="D261" s="1765"/>
      <c r="E261" s="1765"/>
      <c r="F261" s="1766"/>
      <c r="G261" s="78" t="e">
        <f>L_CViec!#REF!</f>
        <v>#REF!</v>
      </c>
      <c r="H261" s="95"/>
      <c r="I261" s="95"/>
      <c r="J261" s="95"/>
      <c r="K261" s="152" t="e">
        <f>SUM(K$217,K$220,K$222,K$232,K$234,K$236,K$243)+SUM(K$221,K$228,K$235)*$G261</f>
        <v>#REF!</v>
      </c>
      <c r="L261" s="152" t="e">
        <f t="shared" si="36"/>
        <v>#REF!</v>
      </c>
      <c r="M261" s="152" t="e">
        <f t="shared" si="36"/>
        <v>#REF!</v>
      </c>
      <c r="N261" s="152" t="e">
        <f t="shared" si="36"/>
        <v>#REF!</v>
      </c>
      <c r="O261" s="152" t="e">
        <f t="shared" si="36"/>
        <v>#REF!</v>
      </c>
      <c r="P261" s="152" t="e">
        <f t="shared" si="36"/>
        <v>#REF!</v>
      </c>
      <c r="Q261" s="152" t="e">
        <f t="shared" si="36"/>
        <v>#REF!</v>
      </c>
      <c r="R261" s="152" t="e">
        <f t="shared" si="36"/>
        <v>#REF!</v>
      </c>
      <c r="S261" s="96" t="e">
        <f t="shared" si="36"/>
        <v>#REF!</v>
      </c>
    </row>
    <row r="262" spans="1:19" s="85" customFormat="1" ht="70.5" customHeight="1">
      <c r="A262" s="122" t="e">
        <f>L_CViec!#REF!</f>
        <v>#REF!</v>
      </c>
      <c r="B262" s="80" t="e">
        <f>L_CViec!#REF!</f>
        <v>#REF!</v>
      </c>
      <c r="C262" s="1764" t="e">
        <f>L_CViec!#REF!</f>
        <v>#REF!</v>
      </c>
      <c r="D262" s="1765"/>
      <c r="E262" s="1765"/>
      <c r="F262" s="1766"/>
      <c r="G262" s="78" t="e">
        <f>L_CViec!#REF!</f>
        <v>#REF!</v>
      </c>
      <c r="H262" s="95"/>
      <c r="I262" s="95"/>
      <c r="J262" s="95"/>
      <c r="K262" s="152" t="e">
        <f>SUM(K$217,K$220,K$222,K$227,K$232,K$234,K$236,K$243)+SUM(K$221,K$228,K$235)*$G262</f>
        <v>#REF!</v>
      </c>
      <c r="L262" s="152" t="e">
        <f t="shared" ref="L262:S266" si="37">SUM(L$217,L$220,L$222,L$227,L$232,L$234,L$236,L$243)+SUM(L$221,L$228,L$235)*$G262</f>
        <v>#REF!</v>
      </c>
      <c r="M262" s="152" t="e">
        <f t="shared" si="37"/>
        <v>#REF!</v>
      </c>
      <c r="N262" s="152" t="e">
        <f t="shared" si="37"/>
        <v>#REF!</v>
      </c>
      <c r="O262" s="152" t="e">
        <f t="shared" si="37"/>
        <v>#REF!</v>
      </c>
      <c r="P262" s="152" t="e">
        <f t="shared" si="37"/>
        <v>#REF!</v>
      </c>
      <c r="Q262" s="152" t="e">
        <f t="shared" si="37"/>
        <v>#REF!</v>
      </c>
      <c r="R262" s="152" t="e">
        <f t="shared" si="37"/>
        <v>#REF!</v>
      </c>
      <c r="S262" s="96" t="e">
        <f t="shared" si="37"/>
        <v>#REF!</v>
      </c>
    </row>
    <row r="263" spans="1:19" s="85" customFormat="1" ht="72" customHeight="1">
      <c r="A263" s="122" t="e">
        <f>L_CViec!#REF!</f>
        <v>#REF!</v>
      </c>
      <c r="B263" s="80" t="e">
        <f>L_CViec!#REF!</f>
        <v>#REF!</v>
      </c>
      <c r="C263" s="1764" t="e">
        <f>L_CViec!#REF!</f>
        <v>#REF!</v>
      </c>
      <c r="D263" s="1765"/>
      <c r="E263" s="1765"/>
      <c r="F263" s="1766"/>
      <c r="G263" s="78" t="e">
        <f>L_CViec!#REF!</f>
        <v>#REF!</v>
      </c>
      <c r="H263" s="95"/>
      <c r="I263" s="95"/>
      <c r="J263" s="95"/>
      <c r="K263" s="152" t="e">
        <f>SUM(K$217,K$220,K$222,K$227,K$232,K$234,K$236,K$243)+SUM(K$221,K$228,K$235)*$G263</f>
        <v>#REF!</v>
      </c>
      <c r="L263" s="152" t="e">
        <f t="shared" si="37"/>
        <v>#REF!</v>
      </c>
      <c r="M263" s="152" t="e">
        <f t="shared" si="37"/>
        <v>#REF!</v>
      </c>
      <c r="N263" s="152" t="e">
        <f t="shared" si="37"/>
        <v>#REF!</v>
      </c>
      <c r="O263" s="152" t="e">
        <f t="shared" si="37"/>
        <v>#REF!</v>
      </c>
      <c r="P263" s="152" t="e">
        <f t="shared" si="37"/>
        <v>#REF!</v>
      </c>
      <c r="Q263" s="152" t="e">
        <f t="shared" si="37"/>
        <v>#REF!</v>
      </c>
      <c r="R263" s="152" t="e">
        <f t="shared" si="37"/>
        <v>#REF!</v>
      </c>
      <c r="S263" s="96" t="e">
        <f t="shared" si="37"/>
        <v>#REF!</v>
      </c>
    </row>
    <row r="264" spans="1:19" s="85" customFormat="1" ht="60.6" customHeight="1">
      <c r="A264" s="122" t="e">
        <f>L_CViec!#REF!</f>
        <v>#REF!</v>
      </c>
      <c r="B264" s="80" t="e">
        <f>L_CViec!#REF!</f>
        <v>#REF!</v>
      </c>
      <c r="C264" s="1764" t="e">
        <f>L_CViec!#REF!</f>
        <v>#REF!</v>
      </c>
      <c r="D264" s="1765"/>
      <c r="E264" s="1765"/>
      <c r="F264" s="1766"/>
      <c r="G264" s="78" t="e">
        <f>L_CViec!#REF!</f>
        <v>#REF!</v>
      </c>
      <c r="H264" s="95"/>
      <c r="I264" s="95"/>
      <c r="J264" s="95"/>
      <c r="K264" s="152" t="e">
        <f>SUM(K$217,K$220,K$222,K$227,K$232,K$234,K$236,K$243)+SUM(K$221,K$228,K$235)*$G264</f>
        <v>#REF!</v>
      </c>
      <c r="L264" s="152" t="e">
        <f t="shared" si="37"/>
        <v>#REF!</v>
      </c>
      <c r="M264" s="152" t="e">
        <f t="shared" si="37"/>
        <v>#REF!</v>
      </c>
      <c r="N264" s="152" t="e">
        <f t="shared" si="37"/>
        <v>#REF!</v>
      </c>
      <c r="O264" s="152" t="e">
        <f t="shared" si="37"/>
        <v>#REF!</v>
      </c>
      <c r="P264" s="152" t="e">
        <f t="shared" si="37"/>
        <v>#REF!</v>
      </c>
      <c r="Q264" s="152" t="e">
        <f t="shared" si="37"/>
        <v>#REF!</v>
      </c>
      <c r="R264" s="152" t="e">
        <f t="shared" si="37"/>
        <v>#REF!</v>
      </c>
      <c r="S264" s="96" t="e">
        <f t="shared" si="37"/>
        <v>#REF!</v>
      </c>
    </row>
    <row r="265" spans="1:19" s="85" customFormat="1" ht="60.6" customHeight="1">
      <c r="A265" s="122" t="e">
        <f>L_CViec!#REF!</f>
        <v>#REF!</v>
      </c>
      <c r="B265" s="80" t="e">
        <f>L_CViec!#REF!</f>
        <v>#REF!</v>
      </c>
      <c r="C265" s="1764" t="e">
        <f>L_CViec!#REF!</f>
        <v>#REF!</v>
      </c>
      <c r="D265" s="1765"/>
      <c r="E265" s="1765"/>
      <c r="F265" s="1766"/>
      <c r="G265" s="78" t="e">
        <f>L_CViec!#REF!</f>
        <v>#REF!</v>
      </c>
      <c r="H265" s="95"/>
      <c r="I265" s="95"/>
      <c r="J265" s="95"/>
      <c r="K265" s="152" t="e">
        <f>SUM(K$217,K$220,K$222,K$227,K$232,K$234,K$236,K$243)+SUM(K$221,K$228,K$235)*$G265</f>
        <v>#REF!</v>
      </c>
      <c r="L265" s="152" t="e">
        <f t="shared" si="37"/>
        <v>#REF!</v>
      </c>
      <c r="M265" s="152" t="e">
        <f t="shared" si="37"/>
        <v>#REF!</v>
      </c>
      <c r="N265" s="152" t="e">
        <f t="shared" si="37"/>
        <v>#REF!</v>
      </c>
      <c r="O265" s="152" t="e">
        <f t="shared" si="37"/>
        <v>#REF!</v>
      </c>
      <c r="P265" s="152" t="e">
        <f t="shared" si="37"/>
        <v>#REF!</v>
      </c>
      <c r="Q265" s="152" t="e">
        <f t="shared" si="37"/>
        <v>#REF!</v>
      </c>
      <c r="R265" s="152" t="e">
        <f t="shared" si="37"/>
        <v>#REF!</v>
      </c>
      <c r="S265" s="96" t="e">
        <f t="shared" si="37"/>
        <v>#REF!</v>
      </c>
    </row>
    <row r="266" spans="1:19" s="85" customFormat="1" ht="70.5" customHeight="1">
      <c r="A266" s="122" t="e">
        <f>L_CViec!#REF!</f>
        <v>#REF!</v>
      </c>
      <c r="B266" s="80" t="e">
        <f>L_CViec!#REF!</f>
        <v>#REF!</v>
      </c>
      <c r="C266" s="1764" t="e">
        <f>L_CViec!#REF!</f>
        <v>#REF!</v>
      </c>
      <c r="D266" s="1765"/>
      <c r="E266" s="1765"/>
      <c r="F266" s="1766"/>
      <c r="G266" s="78" t="e">
        <f>L_CViec!#REF!</f>
        <v>#REF!</v>
      </c>
      <c r="H266" s="95"/>
      <c r="I266" s="95"/>
      <c r="J266" s="95"/>
      <c r="K266" s="152" t="e">
        <f>SUM(K$217,K$220,K$222,K$227,K$232,K$234,K$236,K$243)+SUM(K$221,K$228,K$235)*$G266</f>
        <v>#REF!</v>
      </c>
      <c r="L266" s="152" t="e">
        <f>SUM(L$217,L$220,L$222,L$227,L$232,L$234,L$236,L$243)+SUM(L$221,L$228,L$235)*$G266</f>
        <v>#REF!</v>
      </c>
      <c r="M266" s="152" t="e">
        <f t="shared" si="37"/>
        <v>#REF!</v>
      </c>
      <c r="N266" s="152" t="e">
        <f t="shared" si="37"/>
        <v>#REF!</v>
      </c>
      <c r="O266" s="152" t="e">
        <f t="shared" si="37"/>
        <v>#REF!</v>
      </c>
      <c r="P266" s="152" t="e">
        <f t="shared" si="37"/>
        <v>#REF!</v>
      </c>
      <c r="Q266" s="152" t="e">
        <f t="shared" si="37"/>
        <v>#REF!</v>
      </c>
      <c r="R266" s="152" t="e">
        <f t="shared" si="37"/>
        <v>#REF!</v>
      </c>
      <c r="S266" s="96" t="e">
        <f t="shared" si="37"/>
        <v>#REF!</v>
      </c>
    </row>
    <row r="267" spans="1:19" s="85" customFormat="1" ht="60.6" customHeight="1">
      <c r="A267" s="122" t="e">
        <f>L_CViec!#REF!</f>
        <v>#REF!</v>
      </c>
      <c r="B267" s="80" t="e">
        <f>L_CViec!#REF!</f>
        <v>#REF!</v>
      </c>
      <c r="C267" s="1764" t="e">
        <f>L_CViec!#REF!</f>
        <v>#REF!</v>
      </c>
      <c r="D267" s="1765"/>
      <c r="E267" s="1765"/>
      <c r="F267" s="1766"/>
      <c r="G267" s="78" t="e">
        <f>L_CViec!#REF!</f>
        <v>#REF!</v>
      </c>
      <c r="H267" s="95"/>
      <c r="I267" s="95"/>
      <c r="J267" s="95"/>
      <c r="K267" s="152" t="e">
        <f>SUM(K218,K220,K221,K222,K227,K228,K232,K234,K235,K236)*$G267</f>
        <v>#REF!</v>
      </c>
      <c r="L267" s="152" t="e">
        <f t="shared" ref="L267:S267" si="38">SUM(L218,L220,L221,L222,L227,L228,L232,L234,L235,L236)*$G267</f>
        <v>#REF!</v>
      </c>
      <c r="M267" s="152" t="e">
        <f t="shared" si="38"/>
        <v>#REF!</v>
      </c>
      <c r="N267" s="152" t="e">
        <f t="shared" si="38"/>
        <v>#REF!</v>
      </c>
      <c r="O267" s="152" t="e">
        <f t="shared" si="38"/>
        <v>#REF!</v>
      </c>
      <c r="P267" s="152" t="e">
        <f t="shared" si="38"/>
        <v>#REF!</v>
      </c>
      <c r="Q267" s="152" t="e">
        <f t="shared" si="38"/>
        <v>#REF!</v>
      </c>
      <c r="R267" s="152" t="e">
        <f t="shared" si="38"/>
        <v>#REF!</v>
      </c>
      <c r="S267" s="96" t="e">
        <f t="shared" si="38"/>
        <v>#REF!</v>
      </c>
    </row>
    <row r="268" spans="1:19" s="85" customFormat="1" ht="60.6" customHeight="1">
      <c r="A268" s="122" t="e">
        <f>L_CViec!#REF!</f>
        <v>#REF!</v>
      </c>
      <c r="B268" s="80" t="e">
        <f>L_CViec!#REF!</f>
        <v>#REF!</v>
      </c>
      <c r="C268" s="1764" t="e">
        <f>L_CViec!#REF!</f>
        <v>#REF!</v>
      </c>
      <c r="D268" s="1765"/>
      <c r="E268" s="1765"/>
      <c r="F268" s="1766"/>
      <c r="G268" s="78" t="e">
        <f>L_CViec!#REF!</f>
        <v>#REF!</v>
      </c>
      <c r="H268" s="95"/>
      <c r="I268" s="95"/>
      <c r="J268" s="95"/>
      <c r="K268" s="152" t="e">
        <f>SUM(K$217,K$220,K$222,K$227,K$232,K$234,K$236,K$243)+SUM(K$221,K$228,K$235)*$G268</f>
        <v>#REF!</v>
      </c>
      <c r="L268" s="152" t="e">
        <f t="shared" ref="L268:S272" si="39">SUM(L$217,L$220,L$222,L$227,L$232,L$234,L$236,L$243)+SUM(L$221,L$228,L$235)*$G268</f>
        <v>#REF!</v>
      </c>
      <c r="M268" s="152" t="e">
        <f t="shared" si="39"/>
        <v>#REF!</v>
      </c>
      <c r="N268" s="152" t="e">
        <f t="shared" si="39"/>
        <v>#REF!</v>
      </c>
      <c r="O268" s="152" t="e">
        <f t="shared" si="39"/>
        <v>#REF!</v>
      </c>
      <c r="P268" s="152" t="e">
        <f t="shared" si="39"/>
        <v>#REF!</v>
      </c>
      <c r="Q268" s="152" t="e">
        <f t="shared" si="39"/>
        <v>#REF!</v>
      </c>
      <c r="R268" s="152" t="e">
        <f t="shared" si="39"/>
        <v>#REF!</v>
      </c>
      <c r="S268" s="96" t="e">
        <f t="shared" si="39"/>
        <v>#REF!</v>
      </c>
    </row>
    <row r="269" spans="1:19" s="85" customFormat="1" ht="74.25" customHeight="1">
      <c r="A269" s="122" t="e">
        <f>L_CViec!#REF!</f>
        <v>#REF!</v>
      </c>
      <c r="B269" s="80" t="e">
        <f>L_CViec!#REF!</f>
        <v>#REF!</v>
      </c>
      <c r="C269" s="1764" t="e">
        <f>L_CViec!#REF!</f>
        <v>#REF!</v>
      </c>
      <c r="D269" s="1765"/>
      <c r="E269" s="1765"/>
      <c r="F269" s="1766"/>
      <c r="G269" s="78" t="e">
        <f>L_CViec!#REF!</f>
        <v>#REF!</v>
      </c>
      <c r="H269" s="95"/>
      <c r="I269" s="95"/>
      <c r="J269" s="95"/>
      <c r="K269" s="152" t="e">
        <f>SUM(K$217,K$220,K$222,K$227,K$232,K$234,K$236,K$243)+SUM(K$221,K$228,K$235)*$G269</f>
        <v>#REF!</v>
      </c>
      <c r="L269" s="152" t="e">
        <f t="shared" si="39"/>
        <v>#REF!</v>
      </c>
      <c r="M269" s="152" t="e">
        <f t="shared" si="39"/>
        <v>#REF!</v>
      </c>
      <c r="N269" s="152" t="e">
        <f t="shared" si="39"/>
        <v>#REF!</v>
      </c>
      <c r="O269" s="152" t="e">
        <f t="shared" si="39"/>
        <v>#REF!</v>
      </c>
      <c r="P269" s="152" t="e">
        <f t="shared" si="39"/>
        <v>#REF!</v>
      </c>
      <c r="Q269" s="152" t="e">
        <f t="shared" si="39"/>
        <v>#REF!</v>
      </c>
      <c r="R269" s="152" t="e">
        <f t="shared" si="39"/>
        <v>#REF!</v>
      </c>
      <c r="S269" s="96" t="e">
        <f t="shared" si="39"/>
        <v>#REF!</v>
      </c>
    </row>
    <row r="270" spans="1:19" s="85" customFormat="1" ht="69" customHeight="1">
      <c r="A270" s="122" t="e">
        <f>L_CViec!#REF!</f>
        <v>#REF!</v>
      </c>
      <c r="B270" s="80" t="e">
        <f>L_CViec!#REF!</f>
        <v>#REF!</v>
      </c>
      <c r="C270" s="1764" t="e">
        <f>L_CViec!#REF!</f>
        <v>#REF!</v>
      </c>
      <c r="D270" s="1765"/>
      <c r="E270" s="1765"/>
      <c r="F270" s="1766"/>
      <c r="G270" s="78" t="e">
        <f>L_CViec!#REF!</f>
        <v>#REF!</v>
      </c>
      <c r="H270" s="95"/>
      <c r="I270" s="95"/>
      <c r="J270" s="95"/>
      <c r="K270" s="152" t="e">
        <f>SUM(K$217,K$220,K$222,K$227,K$232,K$234,K$236,K$243)+SUM(K$221,K$228,K$235)*$G270</f>
        <v>#REF!</v>
      </c>
      <c r="L270" s="152" t="e">
        <f t="shared" si="39"/>
        <v>#REF!</v>
      </c>
      <c r="M270" s="152" t="e">
        <f t="shared" si="39"/>
        <v>#REF!</v>
      </c>
      <c r="N270" s="152" t="e">
        <f t="shared" si="39"/>
        <v>#REF!</v>
      </c>
      <c r="O270" s="152" t="e">
        <f t="shared" si="39"/>
        <v>#REF!</v>
      </c>
      <c r="P270" s="152" t="e">
        <f t="shared" si="39"/>
        <v>#REF!</v>
      </c>
      <c r="Q270" s="152" t="e">
        <f t="shared" si="39"/>
        <v>#REF!</v>
      </c>
      <c r="R270" s="152" t="e">
        <f t="shared" si="39"/>
        <v>#REF!</v>
      </c>
      <c r="S270" s="96" t="e">
        <f t="shared" si="39"/>
        <v>#REF!</v>
      </c>
    </row>
    <row r="271" spans="1:19" s="85" customFormat="1" ht="71.25" customHeight="1">
      <c r="A271" s="122" t="e">
        <f>L_CViec!#REF!</f>
        <v>#REF!</v>
      </c>
      <c r="B271" s="80" t="e">
        <f>L_CViec!#REF!</f>
        <v>#REF!</v>
      </c>
      <c r="C271" s="1764" t="e">
        <f>L_CViec!#REF!</f>
        <v>#REF!</v>
      </c>
      <c r="D271" s="1765"/>
      <c r="E271" s="1765"/>
      <c r="F271" s="1766"/>
      <c r="G271" s="78" t="e">
        <f>L_CViec!#REF!</f>
        <v>#REF!</v>
      </c>
      <c r="H271" s="95"/>
      <c r="I271" s="95"/>
      <c r="J271" s="95"/>
      <c r="K271" s="152" t="e">
        <f>SUM(K$217,K$220,K$222,K$227,K$232,K$234,K$236,K$243)+SUM(K$221,K$228,K$235)*$G271</f>
        <v>#REF!</v>
      </c>
      <c r="L271" s="152" t="e">
        <f t="shared" si="39"/>
        <v>#REF!</v>
      </c>
      <c r="M271" s="152" t="e">
        <f t="shared" si="39"/>
        <v>#REF!</v>
      </c>
      <c r="N271" s="152" t="e">
        <f t="shared" si="39"/>
        <v>#REF!</v>
      </c>
      <c r="O271" s="152" t="e">
        <f t="shared" si="39"/>
        <v>#REF!</v>
      </c>
      <c r="P271" s="152" t="e">
        <f t="shared" si="39"/>
        <v>#REF!</v>
      </c>
      <c r="Q271" s="152" t="e">
        <f t="shared" si="39"/>
        <v>#REF!</v>
      </c>
      <c r="R271" s="152" t="e">
        <f t="shared" si="39"/>
        <v>#REF!</v>
      </c>
      <c r="S271" s="96" t="e">
        <f t="shared" si="39"/>
        <v>#REF!</v>
      </c>
    </row>
    <row r="272" spans="1:19" s="85" customFormat="1" ht="75" customHeight="1">
      <c r="A272" s="122" t="e">
        <f>L_CViec!#REF!</f>
        <v>#REF!</v>
      </c>
      <c r="B272" s="80" t="e">
        <f>L_CViec!#REF!</f>
        <v>#REF!</v>
      </c>
      <c r="C272" s="1764" t="e">
        <f>L_CViec!#REF!</f>
        <v>#REF!</v>
      </c>
      <c r="D272" s="1765"/>
      <c r="E272" s="1765"/>
      <c r="F272" s="1766"/>
      <c r="G272" s="78" t="e">
        <f>L_CViec!#REF!</f>
        <v>#REF!</v>
      </c>
      <c r="H272" s="95"/>
      <c r="I272" s="95"/>
      <c r="J272" s="95"/>
      <c r="K272" s="152" t="e">
        <f>SUM(K$217,K$220,K$222,K$227,K$232,K$234,K$236,K$243)+SUM(K$221,K$228,K$235)*$G272</f>
        <v>#REF!</v>
      </c>
      <c r="L272" s="152" t="e">
        <f t="shared" si="39"/>
        <v>#REF!</v>
      </c>
      <c r="M272" s="152" t="e">
        <f t="shared" si="39"/>
        <v>#REF!</v>
      </c>
      <c r="N272" s="152" t="e">
        <f t="shared" si="39"/>
        <v>#REF!</v>
      </c>
      <c r="O272" s="152" t="e">
        <f t="shared" si="39"/>
        <v>#REF!</v>
      </c>
      <c r="P272" s="152" t="e">
        <f t="shared" si="39"/>
        <v>#REF!</v>
      </c>
      <c r="Q272" s="152" t="e">
        <f t="shared" si="39"/>
        <v>#REF!</v>
      </c>
      <c r="R272" s="152" t="e">
        <f t="shared" si="39"/>
        <v>#REF!</v>
      </c>
      <c r="S272" s="96" t="e">
        <f t="shared" si="39"/>
        <v>#REF!</v>
      </c>
    </row>
    <row r="273" spans="1:19" s="85" customFormat="1" ht="70.5" customHeight="1">
      <c r="A273" s="122" t="e">
        <f>L_CViec!#REF!</f>
        <v>#REF!</v>
      </c>
      <c r="B273" s="80" t="e">
        <f>L_CViec!#REF!</f>
        <v>#REF!</v>
      </c>
      <c r="C273" s="1764" t="e">
        <f>L_CViec!#REF!</f>
        <v>#REF!</v>
      </c>
      <c r="D273" s="1765"/>
      <c r="E273" s="1765"/>
      <c r="F273" s="1766"/>
      <c r="G273" s="78" t="e">
        <f>L_CViec!#REF!</f>
        <v>#REF!</v>
      </c>
      <c r="H273" s="95"/>
      <c r="I273" s="95"/>
      <c r="J273" s="95"/>
      <c r="K273" s="152" t="e">
        <f>SUM(K$217,K$220,K$222,K$232,K$234,K$236,K$243)+SUM(K$221,K$235)*$G273</f>
        <v>#REF!</v>
      </c>
      <c r="L273" s="152" t="e">
        <f t="shared" ref="L273:S273" si="40">SUM(L$217,L$220,L$222,L$232,L$234,L$236,L$243)+SUM(L$221,L$235)*$G273</f>
        <v>#REF!</v>
      </c>
      <c r="M273" s="152" t="e">
        <f t="shared" si="40"/>
        <v>#REF!</v>
      </c>
      <c r="N273" s="152" t="e">
        <f t="shared" si="40"/>
        <v>#REF!</v>
      </c>
      <c r="O273" s="152" t="e">
        <f t="shared" si="40"/>
        <v>#REF!</v>
      </c>
      <c r="P273" s="152" t="e">
        <f t="shared" si="40"/>
        <v>#REF!</v>
      </c>
      <c r="Q273" s="152" t="e">
        <f t="shared" si="40"/>
        <v>#REF!</v>
      </c>
      <c r="R273" s="152" t="e">
        <f t="shared" si="40"/>
        <v>#REF!</v>
      </c>
      <c r="S273" s="96" t="e">
        <f t="shared" si="40"/>
        <v>#REF!</v>
      </c>
    </row>
    <row r="274" spans="1:19" s="85" customFormat="1" ht="69" customHeight="1">
      <c r="A274" s="122" t="e">
        <f>L_CViec!#REF!</f>
        <v>#REF!</v>
      </c>
      <c r="B274" s="80" t="e">
        <f>L_CViec!#REF!</f>
        <v>#REF!</v>
      </c>
      <c r="C274" s="1764" t="e">
        <f>L_CViec!#REF!</f>
        <v>#REF!</v>
      </c>
      <c r="D274" s="1765"/>
      <c r="E274" s="1765"/>
      <c r="F274" s="1766"/>
      <c r="G274" s="78" t="e">
        <f>L_CViec!#REF!</f>
        <v>#REF!</v>
      </c>
      <c r="H274" s="95"/>
      <c r="I274" s="95"/>
      <c r="J274" s="95"/>
      <c r="K274" s="152" t="e">
        <f>SUM(K$217,K$220,K$222,K$227,K$232,K$234,K$236,K$243)+SUM(K$221,K$228,K$235)*$G274</f>
        <v>#REF!</v>
      </c>
      <c r="L274" s="152" t="e">
        <f t="shared" ref="L274:S274" si="41">SUM(L$217,L$220,L$222,L$227,L$232,L$234,L$236,L$243)+SUM(L$221,L$228,L$235)*$G274</f>
        <v>#REF!</v>
      </c>
      <c r="M274" s="152" t="e">
        <f t="shared" si="41"/>
        <v>#REF!</v>
      </c>
      <c r="N274" s="152" t="e">
        <f t="shared" si="41"/>
        <v>#REF!</v>
      </c>
      <c r="O274" s="152" t="e">
        <f t="shared" si="41"/>
        <v>#REF!</v>
      </c>
      <c r="P274" s="152" t="e">
        <f t="shared" si="41"/>
        <v>#REF!</v>
      </c>
      <c r="Q274" s="152" t="e">
        <f t="shared" si="41"/>
        <v>#REF!</v>
      </c>
      <c r="R274" s="152" t="e">
        <f t="shared" si="41"/>
        <v>#REF!</v>
      </c>
      <c r="S274" s="96" t="e">
        <f t="shared" si="41"/>
        <v>#REF!</v>
      </c>
    </row>
    <row r="275" spans="1:19" s="85" customFormat="1" ht="72" customHeight="1">
      <c r="A275" s="122" t="e">
        <f>L_CViec!#REF!</f>
        <v>#REF!</v>
      </c>
      <c r="B275" s="80" t="e">
        <f>L_CViec!#REF!</f>
        <v>#REF!</v>
      </c>
      <c r="C275" s="1764" t="e">
        <f>L_CViec!#REF!</f>
        <v>#REF!</v>
      </c>
      <c r="D275" s="1765"/>
      <c r="E275" s="1765"/>
      <c r="F275" s="1766"/>
      <c r="G275" s="78" t="e">
        <f>L_CViec!#REF!</f>
        <v>#REF!</v>
      </c>
      <c r="H275" s="95"/>
      <c r="I275" s="95"/>
      <c r="J275" s="95"/>
      <c r="K275" s="152" t="e">
        <f>SUM(K$217,K$220,K$222,K$232,K$234,K$236,K$243)+SUM(K$221,K$228,K$235)*$G275</f>
        <v>#REF!</v>
      </c>
      <c r="L275" s="152" t="e">
        <f t="shared" ref="L275:S275" si="42">SUM(L$217,L$220,L$222,L$232,L$234,L$236,L$243)+SUM(L$221,L$228,L$235)*$G275</f>
        <v>#REF!</v>
      </c>
      <c r="M275" s="152" t="e">
        <f t="shared" si="42"/>
        <v>#REF!</v>
      </c>
      <c r="N275" s="152" t="e">
        <f t="shared" si="42"/>
        <v>#REF!</v>
      </c>
      <c r="O275" s="152" t="e">
        <f t="shared" si="42"/>
        <v>#REF!</v>
      </c>
      <c r="P275" s="152" t="e">
        <f t="shared" si="42"/>
        <v>#REF!</v>
      </c>
      <c r="Q275" s="152" t="e">
        <f t="shared" si="42"/>
        <v>#REF!</v>
      </c>
      <c r="R275" s="152" t="e">
        <f t="shared" si="42"/>
        <v>#REF!</v>
      </c>
      <c r="S275" s="96" t="e">
        <f t="shared" si="42"/>
        <v>#REF!</v>
      </c>
    </row>
    <row r="276" spans="1:19" s="85" customFormat="1" ht="75.75" customHeight="1">
      <c r="A276" s="122" t="e">
        <f>L_CViec!#REF!</f>
        <v>#REF!</v>
      </c>
      <c r="B276" s="80" t="e">
        <f>L_CViec!#REF!</f>
        <v>#REF!</v>
      </c>
      <c r="C276" s="1764" t="e">
        <f>L_CViec!#REF!</f>
        <v>#REF!</v>
      </c>
      <c r="D276" s="1765"/>
      <c r="E276" s="1765"/>
      <c r="F276" s="1766"/>
      <c r="G276" s="78" t="e">
        <f>L_CViec!#REF!</f>
        <v>#REF!</v>
      </c>
      <c r="H276" s="95"/>
      <c r="I276" s="95"/>
      <c r="J276" s="95"/>
      <c r="K276" s="152" t="e">
        <f>SUM(K$217,K$220,K$222,K$227,K$232,K$234,K$236,K$243)+SUM(K$221,K$223,K$228,K$235)*$G276</f>
        <v>#REF!</v>
      </c>
      <c r="L276" s="152" t="e">
        <f t="shared" ref="L276:S277" si="43">SUM(L$217,L$220,L$222,L$227,L$232,L$234,L$236,L$243)+SUM(L$221,L$223,L$228,L$235)*$G276</f>
        <v>#REF!</v>
      </c>
      <c r="M276" s="152" t="e">
        <f t="shared" si="43"/>
        <v>#REF!</v>
      </c>
      <c r="N276" s="152" t="e">
        <f t="shared" si="43"/>
        <v>#REF!</v>
      </c>
      <c r="O276" s="152" t="e">
        <f t="shared" si="43"/>
        <v>#REF!</v>
      </c>
      <c r="P276" s="152" t="e">
        <f t="shared" si="43"/>
        <v>#REF!</v>
      </c>
      <c r="Q276" s="152" t="e">
        <f t="shared" si="43"/>
        <v>#REF!</v>
      </c>
      <c r="R276" s="152" t="e">
        <f t="shared" si="43"/>
        <v>#REF!</v>
      </c>
      <c r="S276" s="96" t="e">
        <f t="shared" si="43"/>
        <v>#REF!</v>
      </c>
    </row>
    <row r="277" spans="1:19" s="85" customFormat="1" ht="72" customHeight="1">
      <c r="A277" s="122" t="e">
        <f>L_CViec!#REF!</f>
        <v>#REF!</v>
      </c>
      <c r="B277" s="80" t="e">
        <f>L_CViec!#REF!</f>
        <v>#REF!</v>
      </c>
      <c r="C277" s="1764" t="e">
        <f>L_CViec!#REF!</f>
        <v>#REF!</v>
      </c>
      <c r="D277" s="1765"/>
      <c r="E277" s="1765"/>
      <c r="F277" s="1766"/>
      <c r="G277" s="78" t="e">
        <f>L_CViec!#REF!</f>
        <v>#REF!</v>
      </c>
      <c r="H277" s="95"/>
      <c r="I277" s="95"/>
      <c r="J277" s="95"/>
      <c r="K277" s="152" t="e">
        <f>SUM(K$217,K$220,K$222,K$227,K$232,K$234,K$236,K$243)+SUM(K$221,K$223,K$228,K$235)*$G277</f>
        <v>#REF!</v>
      </c>
      <c r="L277" s="152" t="e">
        <f t="shared" si="43"/>
        <v>#REF!</v>
      </c>
      <c r="M277" s="152" t="e">
        <f t="shared" si="43"/>
        <v>#REF!</v>
      </c>
      <c r="N277" s="152" t="e">
        <f t="shared" si="43"/>
        <v>#REF!</v>
      </c>
      <c r="O277" s="152" t="e">
        <f t="shared" si="43"/>
        <v>#REF!</v>
      </c>
      <c r="P277" s="152" t="e">
        <f t="shared" si="43"/>
        <v>#REF!</v>
      </c>
      <c r="Q277" s="152" t="e">
        <f t="shared" si="43"/>
        <v>#REF!</v>
      </c>
      <c r="R277" s="152" t="e">
        <f t="shared" si="43"/>
        <v>#REF!</v>
      </c>
      <c r="S277" s="96" t="e">
        <f t="shared" si="43"/>
        <v>#REF!</v>
      </c>
    </row>
    <row r="278" spans="1:19" s="85" customFormat="1" ht="99" customHeight="1">
      <c r="A278" s="122" t="e">
        <f>L_CViec!#REF!</f>
        <v>#REF!</v>
      </c>
      <c r="B278" s="80" t="e">
        <f>L_CViec!#REF!</f>
        <v>#REF!</v>
      </c>
      <c r="C278" s="1764" t="e">
        <f>L_CViec!#REF!</f>
        <v>#REF!</v>
      </c>
      <c r="D278" s="1765"/>
      <c r="E278" s="1765"/>
      <c r="F278" s="1766"/>
      <c r="G278" s="78" t="e">
        <f>L_CViec!#REF!</f>
        <v>#REF!</v>
      </c>
      <c r="H278" s="95"/>
      <c r="I278" s="95"/>
      <c r="J278" s="95"/>
      <c r="K278" s="152" t="e">
        <f>SUM(K$217,K$220,K$222,K$227,K$232,K$234,K$236,K$243)+SUM(K$221,K$228,K$235)*$G278</f>
        <v>#REF!</v>
      </c>
      <c r="L278" s="152" t="e">
        <f t="shared" ref="L278:S279" si="44">SUM(L$217,L$220,L$222,L$227,L$232,L$234,L$236,L$243)+SUM(L$221,L$228,L$235)*$G278</f>
        <v>#REF!</v>
      </c>
      <c r="M278" s="152" t="e">
        <f t="shared" si="44"/>
        <v>#REF!</v>
      </c>
      <c r="N278" s="152" t="e">
        <f t="shared" si="44"/>
        <v>#REF!</v>
      </c>
      <c r="O278" s="152" t="e">
        <f t="shared" si="44"/>
        <v>#REF!</v>
      </c>
      <c r="P278" s="152" t="e">
        <f t="shared" si="44"/>
        <v>#REF!</v>
      </c>
      <c r="Q278" s="152" t="e">
        <f t="shared" si="44"/>
        <v>#REF!</v>
      </c>
      <c r="R278" s="152" t="e">
        <f t="shared" si="44"/>
        <v>#REF!</v>
      </c>
      <c r="S278" s="96" t="e">
        <f t="shared" si="44"/>
        <v>#REF!</v>
      </c>
    </row>
    <row r="279" spans="1:19" s="85" customFormat="1" ht="69" customHeight="1">
      <c r="A279" s="122" t="e">
        <f>L_CViec!#REF!</f>
        <v>#REF!</v>
      </c>
      <c r="B279" s="80" t="e">
        <f>L_CViec!#REF!</f>
        <v>#REF!</v>
      </c>
      <c r="C279" s="1764" t="e">
        <f>L_CViec!#REF!</f>
        <v>#REF!</v>
      </c>
      <c r="D279" s="1765"/>
      <c r="E279" s="1765"/>
      <c r="F279" s="1766"/>
      <c r="G279" s="78" t="e">
        <f>L_CViec!#REF!</f>
        <v>#REF!</v>
      </c>
      <c r="H279" s="95"/>
      <c r="I279" s="95"/>
      <c r="J279" s="95"/>
      <c r="K279" s="152" t="e">
        <f>SUM(K$217,K$220,K$222,K$227,K$232,K$234,K$236,K$243)+SUM(K$221,K$228,K$235)*$G279</f>
        <v>#REF!</v>
      </c>
      <c r="L279" s="152" t="e">
        <f t="shared" si="44"/>
        <v>#REF!</v>
      </c>
      <c r="M279" s="152" t="e">
        <f t="shared" si="44"/>
        <v>#REF!</v>
      </c>
      <c r="N279" s="152" t="e">
        <f t="shared" si="44"/>
        <v>#REF!</v>
      </c>
      <c r="O279" s="152" t="e">
        <f t="shared" si="44"/>
        <v>#REF!</v>
      </c>
      <c r="P279" s="152" t="e">
        <f t="shared" si="44"/>
        <v>#REF!</v>
      </c>
      <c r="Q279" s="152" t="e">
        <f t="shared" si="44"/>
        <v>#REF!</v>
      </c>
      <c r="R279" s="152" t="e">
        <f t="shared" si="44"/>
        <v>#REF!</v>
      </c>
      <c r="S279" s="96" t="e">
        <f t="shared" si="44"/>
        <v>#REF!</v>
      </c>
    </row>
    <row r="280" spans="1:19" s="85" customFormat="1" ht="75" customHeight="1">
      <c r="A280" s="122" t="e">
        <f>L_CViec!#REF!</f>
        <v>#REF!</v>
      </c>
      <c r="B280" s="80" t="e">
        <f>L_CViec!#REF!</f>
        <v>#REF!</v>
      </c>
      <c r="C280" s="1764" t="e">
        <f>L_CViec!#REF!</f>
        <v>#REF!</v>
      </c>
      <c r="D280" s="1765"/>
      <c r="E280" s="1765"/>
      <c r="F280" s="1766"/>
      <c r="G280" s="78" t="e">
        <f>L_CViec!#REF!</f>
        <v>#REF!</v>
      </c>
      <c r="H280" s="95"/>
      <c r="I280" s="95"/>
      <c r="J280" s="95"/>
      <c r="K280" s="152" t="e">
        <f>SUM(K$217,K$220,K$222,K$232,K$234,K$236,K$243)+SUM(K$221,K$228,K$235)*$G280</f>
        <v>#REF!</v>
      </c>
      <c r="L280" s="152" t="e">
        <f t="shared" ref="L280:S281" si="45">SUM(L$217,L$220,L$222,L$232,L$234,L$236,L$243)+SUM(L$221,L$228,L$235)*$G280</f>
        <v>#REF!</v>
      </c>
      <c r="M280" s="152" t="e">
        <f t="shared" si="45"/>
        <v>#REF!</v>
      </c>
      <c r="N280" s="152" t="e">
        <f t="shared" si="45"/>
        <v>#REF!</v>
      </c>
      <c r="O280" s="152" t="e">
        <f t="shared" si="45"/>
        <v>#REF!</v>
      </c>
      <c r="P280" s="152" t="e">
        <f t="shared" si="45"/>
        <v>#REF!</v>
      </c>
      <c r="Q280" s="152" t="e">
        <f t="shared" si="45"/>
        <v>#REF!</v>
      </c>
      <c r="R280" s="152" t="e">
        <f t="shared" si="45"/>
        <v>#REF!</v>
      </c>
      <c r="S280" s="96" t="e">
        <f t="shared" si="45"/>
        <v>#REF!</v>
      </c>
    </row>
    <row r="281" spans="1:19" s="85" customFormat="1" ht="72" customHeight="1">
      <c r="A281" s="122" t="e">
        <f>L_CViec!#REF!</f>
        <v>#REF!</v>
      </c>
      <c r="B281" s="80" t="e">
        <f>L_CViec!#REF!</f>
        <v>#REF!</v>
      </c>
      <c r="C281" s="1764" t="e">
        <f>L_CViec!#REF!</f>
        <v>#REF!</v>
      </c>
      <c r="D281" s="1765"/>
      <c r="E281" s="1765"/>
      <c r="F281" s="1766"/>
      <c r="G281" s="78" t="e">
        <f>L_CViec!#REF!</f>
        <v>#REF!</v>
      </c>
      <c r="H281" s="95"/>
      <c r="I281" s="95"/>
      <c r="J281" s="95"/>
      <c r="K281" s="152" t="e">
        <f>SUM(K$217,K$220,K$222,K$232,K$234,K$236,K$243)+SUM(K$221,K$228,K$235)*$G281</f>
        <v>#REF!</v>
      </c>
      <c r="L281" s="152" t="e">
        <f t="shared" si="45"/>
        <v>#REF!</v>
      </c>
      <c r="M281" s="152" t="e">
        <f t="shared" si="45"/>
        <v>#REF!</v>
      </c>
      <c r="N281" s="152" t="e">
        <f t="shared" si="45"/>
        <v>#REF!</v>
      </c>
      <c r="O281" s="152" t="e">
        <f t="shared" si="45"/>
        <v>#REF!</v>
      </c>
      <c r="P281" s="152" t="e">
        <f t="shared" si="45"/>
        <v>#REF!</v>
      </c>
      <c r="Q281" s="152" t="e">
        <f t="shared" si="45"/>
        <v>#REF!</v>
      </c>
      <c r="R281" s="152" t="e">
        <f t="shared" si="45"/>
        <v>#REF!</v>
      </c>
      <c r="S281" s="96" t="e">
        <f t="shared" si="45"/>
        <v>#REF!</v>
      </c>
    </row>
    <row r="282" spans="1:19" s="85" customFormat="1" ht="56.25" customHeight="1">
      <c r="A282" s="122" t="e">
        <f>L_CViec!#REF!</f>
        <v>#REF!</v>
      </c>
      <c r="B282" s="80" t="e">
        <f>L_CViec!#REF!</f>
        <v>#REF!</v>
      </c>
      <c r="C282" s="1764" t="e">
        <f>L_CViec!#REF!</f>
        <v>#REF!</v>
      </c>
      <c r="D282" s="1765"/>
      <c r="E282" s="1765"/>
      <c r="F282" s="1766"/>
      <c r="G282" s="78" t="e">
        <f>L_CViec!#REF!</f>
        <v>#REF!</v>
      </c>
      <c r="H282" s="95"/>
      <c r="I282" s="95"/>
      <c r="J282" s="95"/>
      <c r="K282" s="152" t="e">
        <f>SUM(K$224,K$232,K$234,K$236,K$243)+SUM(K$228,K$235)*$G282</f>
        <v>#REF!</v>
      </c>
      <c r="L282" s="152" t="e">
        <f t="shared" ref="L282:S282" si="46">SUM(L$224,L$232,L$234,L$236,L$243)+SUM(L$228,L$235)*$G282</f>
        <v>#REF!</v>
      </c>
      <c r="M282" s="152" t="e">
        <f t="shared" si="46"/>
        <v>#REF!</v>
      </c>
      <c r="N282" s="152" t="e">
        <f t="shared" si="46"/>
        <v>#REF!</v>
      </c>
      <c r="O282" s="152" t="e">
        <f t="shared" si="46"/>
        <v>#REF!</v>
      </c>
      <c r="P282" s="152" t="e">
        <f t="shared" si="46"/>
        <v>#REF!</v>
      </c>
      <c r="Q282" s="152" t="e">
        <f t="shared" si="46"/>
        <v>#REF!</v>
      </c>
      <c r="R282" s="152" t="e">
        <f t="shared" si="46"/>
        <v>#REF!</v>
      </c>
      <c r="S282" s="96" t="e">
        <f t="shared" si="46"/>
        <v>#REF!</v>
      </c>
    </row>
    <row r="283" spans="1:19" s="85" customFormat="1" ht="72" customHeight="1" thickBot="1">
      <c r="A283" s="127" t="e">
        <f>L_CViec!#REF!</f>
        <v>#REF!</v>
      </c>
      <c r="B283" s="132" t="e">
        <f>L_CViec!#REF!</f>
        <v>#REF!</v>
      </c>
      <c r="C283" s="1767" t="e">
        <f>L_CViec!#REF!</f>
        <v>#REF!</v>
      </c>
      <c r="D283" s="1768"/>
      <c r="E283" s="1768"/>
      <c r="F283" s="1769"/>
      <c r="G283" s="128" t="e">
        <f>L_CViec!#REF!</f>
        <v>#REF!</v>
      </c>
      <c r="H283" s="97"/>
      <c r="I283" s="97"/>
      <c r="J283" s="97"/>
      <c r="K283" s="171" t="e">
        <f>SUM(K$217,K$220,K$222,K$227,K$232,K$234,K$236,K$243)+SUM(K$221,K$223,K$228,K$235)*$G283</f>
        <v>#REF!</v>
      </c>
      <c r="L283" s="171" t="e">
        <f t="shared" ref="L283:S283" si="47">SUM(L$217,L$220,L$222,L$227,L$232,L$234,L$236,L$243)+SUM(L$221,L$223,L$228,L$235)*$G283</f>
        <v>#REF!</v>
      </c>
      <c r="M283" s="171" t="e">
        <f t="shared" si="47"/>
        <v>#REF!</v>
      </c>
      <c r="N283" s="171" t="e">
        <f t="shared" si="47"/>
        <v>#REF!</v>
      </c>
      <c r="O283" s="171" t="e">
        <f t="shared" si="47"/>
        <v>#REF!</v>
      </c>
      <c r="P283" s="171" t="e">
        <f t="shared" si="47"/>
        <v>#REF!</v>
      </c>
      <c r="Q283" s="171" t="e">
        <f t="shared" si="47"/>
        <v>#REF!</v>
      </c>
      <c r="R283" s="171" t="e">
        <f t="shared" si="47"/>
        <v>#REF!</v>
      </c>
      <c r="S283" s="98" t="e">
        <f t="shared" si="47"/>
        <v>#REF!</v>
      </c>
    </row>
    <row r="284" spans="1:19" s="85" customFormat="1" ht="35.25" customHeight="1">
      <c r="A284" s="84"/>
      <c r="C284" s="175"/>
      <c r="D284" s="175"/>
      <c r="E284" s="175"/>
      <c r="F284" s="175"/>
      <c r="G284" s="84"/>
      <c r="H284" s="176"/>
      <c r="I284" s="176"/>
      <c r="J284" s="176"/>
      <c r="K284" s="176"/>
      <c r="L284" s="176"/>
      <c r="M284" s="176"/>
      <c r="N284" s="176"/>
      <c r="O284" s="176"/>
      <c r="P284" s="176"/>
      <c r="Q284" s="176"/>
      <c r="R284" s="176"/>
      <c r="S284" s="176"/>
    </row>
    <row r="285" spans="1:19" s="85" customFormat="1">
      <c r="A285" s="168"/>
      <c r="B285" s="169"/>
      <c r="C285" s="168"/>
      <c r="D285" s="168"/>
      <c r="E285" s="168"/>
      <c r="F285" s="168"/>
      <c r="G285" s="168"/>
      <c r="H285" s="170"/>
      <c r="I285" s="170"/>
      <c r="J285" s="170"/>
      <c r="K285" s="170"/>
      <c r="L285" s="84"/>
    </row>
    <row r="286" spans="1:19" s="37" customFormat="1" ht="13.5" thickBot="1">
      <c r="A286" s="32" t="s">
        <v>347</v>
      </c>
      <c r="B286" s="33"/>
      <c r="C286" s="34"/>
      <c r="D286" s="34"/>
      <c r="E286" s="34"/>
      <c r="F286" s="34"/>
      <c r="G286" s="35"/>
      <c r="H286" s="36"/>
      <c r="I286" s="36"/>
      <c r="J286" s="36"/>
      <c r="K286" s="36"/>
    </row>
    <row r="287" spans="1:19" s="31" customFormat="1" ht="15" customHeight="1">
      <c r="A287" s="1788" t="s">
        <v>24</v>
      </c>
      <c r="B287" s="29" t="s">
        <v>46</v>
      </c>
      <c r="C287" s="1807" t="s">
        <v>39</v>
      </c>
      <c r="D287" s="30"/>
      <c r="E287" s="1807" t="s">
        <v>17</v>
      </c>
      <c r="F287" s="30" t="s">
        <v>98</v>
      </c>
      <c r="G287" s="1465" t="s">
        <v>335</v>
      </c>
      <c r="H287" s="1466"/>
      <c r="I287" s="1806"/>
      <c r="J287" s="1804" t="s">
        <v>351</v>
      </c>
      <c r="K287" s="1465" t="s">
        <v>36</v>
      </c>
      <c r="L287" s="1466"/>
      <c r="M287" s="1806"/>
      <c r="N287" s="1465" t="s">
        <v>355</v>
      </c>
      <c r="O287" s="1466"/>
      <c r="P287" s="1806"/>
      <c r="Q287" s="1465" t="s">
        <v>356</v>
      </c>
      <c r="R287" s="1466"/>
      <c r="S287" s="1467"/>
    </row>
    <row r="288" spans="1:19" s="31" customFormat="1" ht="31.5" customHeight="1">
      <c r="A288" s="1789"/>
      <c r="B288" s="145"/>
      <c r="C288" s="1808"/>
      <c r="D288" s="146"/>
      <c r="E288" s="1808"/>
      <c r="F288" s="146" t="s">
        <v>25</v>
      </c>
      <c r="G288" s="161" t="s">
        <v>359</v>
      </c>
      <c r="H288" s="161" t="s">
        <v>358</v>
      </c>
      <c r="I288" s="161" t="s">
        <v>357</v>
      </c>
      <c r="J288" s="1805"/>
      <c r="K288" s="161" t="s">
        <v>359</v>
      </c>
      <c r="L288" s="161" t="s">
        <v>358</v>
      </c>
      <c r="M288" s="161" t="s">
        <v>357</v>
      </c>
      <c r="N288" s="147" t="s">
        <v>359</v>
      </c>
      <c r="O288" s="156" t="s">
        <v>358</v>
      </c>
      <c r="P288" s="162" t="s">
        <v>357</v>
      </c>
      <c r="Q288" s="164" t="s">
        <v>359</v>
      </c>
      <c r="R288" s="157" t="s">
        <v>358</v>
      </c>
      <c r="S288" s="163" t="s">
        <v>357</v>
      </c>
    </row>
    <row r="289" spans="1:19" s="273" customFormat="1" ht="28.15" customHeight="1">
      <c r="A289" s="460" t="str">
        <f>L_CViec!A438</f>
        <v>VIII</v>
      </c>
      <c r="B289" s="1786" t="str">
        <f>L_CViec!B438</f>
        <v xml:space="preserve">Đăng ký biến động đất đai đối với tổ chức, tổ chức tôn giáo, tổ chức tôn giáo trực thuộc, tổ chức nước ngoài có chức năng ngoại giao, tổ chức kinh tế có vốn đầu tư nước ngoài, tổ chức nước ngoài, cá nhân nước ngoài </v>
      </c>
      <c r="C289" s="1787"/>
      <c r="D289" s="1787"/>
      <c r="E289" s="465"/>
      <c r="F289" s="462"/>
      <c r="G289" s="462"/>
      <c r="H289" s="462"/>
      <c r="I289" s="462"/>
      <c r="J289" s="461"/>
      <c r="K289" s="463"/>
      <c r="L289" s="463"/>
      <c r="M289" s="463"/>
      <c r="N289" s="463"/>
      <c r="O289" s="463"/>
      <c r="P289" s="463"/>
      <c r="Q289" s="463"/>
      <c r="R289" s="463"/>
      <c r="S289" s="464"/>
    </row>
    <row r="290" spans="1:19" s="85" customFormat="1" ht="29.25" customHeight="1">
      <c r="A290" s="133" t="str">
        <f>L_CViec!A439</f>
        <v>VIII.1</v>
      </c>
      <c r="B290" s="1783" t="str">
        <f>L_CViec!B439</f>
        <v>CÁC NỘI DUNG THỰC HIỆN TẠI ĐỊA BÀN CẤP TỈNH</v>
      </c>
      <c r="C290" s="1784">
        <f>L_CViec!AB439</f>
        <v>0</v>
      </c>
      <c r="D290" s="1785"/>
      <c r="E290" s="134">
        <f>L_CViec!AC439</f>
        <v>0</v>
      </c>
      <c r="F290" s="134">
        <f>L_CViec!AD439</f>
        <v>0</v>
      </c>
      <c r="G290" s="137"/>
      <c r="H290" s="129"/>
      <c r="I290" s="129"/>
      <c r="J290" s="129"/>
      <c r="K290" s="153">
        <f>SUM(K292,K294,K295,K296,K297,K299,K301,K302,K304,K306,K307,K308,K309,K310)</f>
        <v>2064044.4961499996</v>
      </c>
      <c r="L290" s="153">
        <f t="shared" ref="L290:S290" si="48">SUM(L292,L294,L295,L296,L297,L299,L301,L302,L304,L306,L307,L308,L309,L310)</f>
        <v>2018603.5973999999</v>
      </c>
      <c r="M290" s="153">
        <f t="shared" si="48"/>
        <v>2633961.5639999993</v>
      </c>
      <c r="N290" s="153">
        <f t="shared" si="48"/>
        <v>144030.39299999998</v>
      </c>
      <c r="O290" s="153">
        <f t="shared" si="48"/>
        <v>140860.39499999999</v>
      </c>
      <c r="P290" s="153">
        <f t="shared" si="48"/>
        <v>183680.9325</v>
      </c>
      <c r="Q290" s="153">
        <f t="shared" si="48"/>
        <v>158185.38461538462</v>
      </c>
      <c r="R290" s="153">
        <f t="shared" si="48"/>
        <v>154703.84615384616</v>
      </c>
      <c r="S290" s="274">
        <f t="shared" si="48"/>
        <v>201732.69230769234</v>
      </c>
    </row>
    <row r="291" spans="1:19" s="85" customFormat="1" ht="33" customHeight="1">
      <c r="A291" s="122" t="str">
        <f>L_CViec!A440</f>
        <v>1</v>
      </c>
      <c r="B291" s="80" t="str">
        <f>L_CViec!B440</f>
        <v>Hướng dẫn lập hồ sơ đăng ký biến động đất đai</v>
      </c>
      <c r="C291" s="78">
        <f>L_CViec!AB440</f>
        <v>0</v>
      </c>
      <c r="D291" s="78"/>
      <c r="E291" s="78">
        <f>L_CViec!AC440</f>
        <v>0</v>
      </c>
      <c r="F291" s="78">
        <f>L_CViec!AD440</f>
        <v>0</v>
      </c>
      <c r="G291" s="78">
        <f>L_CViec!AE440</f>
        <v>0</v>
      </c>
      <c r="H291" s="138">
        <f>L_CViec!AF440</f>
        <v>0</v>
      </c>
      <c r="I291" s="138">
        <f>L_CViec!AG440</f>
        <v>0</v>
      </c>
      <c r="J291" s="95">
        <f>L_CViec!AH440</f>
        <v>0</v>
      </c>
      <c r="K291" s="152"/>
      <c r="L291" s="152"/>
      <c r="M291" s="152"/>
      <c r="N291" s="152"/>
      <c r="O291" s="152"/>
      <c r="P291" s="152"/>
      <c r="Q291" s="152"/>
      <c r="R291" s="152"/>
      <c r="S291" s="96"/>
    </row>
    <row r="292" spans="1:19" s="85" customFormat="1">
      <c r="A292" s="122" t="str">
        <f>L_CViec!A441</f>
        <v>1.1</v>
      </c>
      <c r="B292" s="80" t="str">
        <f>L_CViec!B441</f>
        <v>Theo hình thức trực tiếp</v>
      </c>
      <c r="C292" s="78" t="str">
        <f>L_CViec!AB441</f>
        <v>Hồ sơ</v>
      </c>
      <c r="D292" s="78">
        <f>L_CViec!AA441</f>
        <v>1</v>
      </c>
      <c r="E292" s="78" t="str">
        <f>L_CViec!AC441</f>
        <v>1KS3</v>
      </c>
      <c r="F292" s="78" t="str">
        <f>L_CViec!AD441</f>
        <v>1-3</v>
      </c>
      <c r="G292" s="78">
        <f>L_CViec!AE441</f>
        <v>0.2</v>
      </c>
      <c r="H292" s="138">
        <f>L_CViec!AF441</f>
        <v>0.2</v>
      </c>
      <c r="I292" s="138">
        <f>L_CViec!AG441</f>
        <v>0.26</v>
      </c>
      <c r="J292" s="95">
        <f>L_CViec!AH441</f>
        <v>333450</v>
      </c>
      <c r="K292" s="155">
        <f>G292*$J292*L_CBac!$G$68</f>
        <v>76693.5</v>
      </c>
      <c r="L292" s="155">
        <f>H292*$J292*L_CBac!$G$68</f>
        <v>76693.5</v>
      </c>
      <c r="M292" s="155">
        <f>I292*$J292*L_CBac!$G$68</f>
        <v>99701.549999999988</v>
      </c>
      <c r="N292" s="155">
        <f>$D292*G292*L_CBac!$J$68</f>
        <v>5112.9000000000005</v>
      </c>
      <c r="O292" s="155">
        <f>$D292*H292*L_CBac!$J$68</f>
        <v>5112.9000000000005</v>
      </c>
      <c r="P292" s="155">
        <f>$D292*I292*L_CBac!$J$68</f>
        <v>6646.77</v>
      </c>
      <c r="Q292" s="155">
        <f>$D292*G292*L_CBac!$J$69</f>
        <v>5615.3846153846162</v>
      </c>
      <c r="R292" s="155">
        <f>$D292*H292*L_CBac!$J$69</f>
        <v>5615.3846153846162</v>
      </c>
      <c r="S292" s="94">
        <f>$D292*I292*L_CBac!$J$69</f>
        <v>7300.0000000000009</v>
      </c>
    </row>
    <row r="293" spans="1:19" s="85" customFormat="1">
      <c r="A293" s="122" t="str">
        <f>L_CViec!A442</f>
        <v>1.2</v>
      </c>
      <c r="B293" s="80" t="str">
        <f>L_CViec!B442</f>
        <v>Theo hình thức trực tuyến</v>
      </c>
      <c r="C293" s="78" t="str">
        <f>L_CViec!AB442</f>
        <v>Hồ sơ</v>
      </c>
      <c r="D293" s="78">
        <f>L_CViec!AA442</f>
        <v>1</v>
      </c>
      <c r="E293" s="78" t="str">
        <f>L_CViec!AC442</f>
        <v>1KS3</v>
      </c>
      <c r="F293" s="78" t="str">
        <f>L_CViec!AD442</f>
        <v>1-3</v>
      </c>
      <c r="G293" s="78">
        <f>L_CViec!AE442</f>
        <v>0.15</v>
      </c>
      <c r="H293" s="138">
        <f>L_CViec!AF442</f>
        <v>0.15</v>
      </c>
      <c r="I293" s="138">
        <f>L_CViec!AG442</f>
        <v>0.19500000000000001</v>
      </c>
      <c r="J293" s="95">
        <f>L_CViec!AH442</f>
        <v>333450</v>
      </c>
      <c r="K293" s="155">
        <f>G293*$J293*L_CBac!$G$68</f>
        <v>57520.124999999993</v>
      </c>
      <c r="L293" s="155">
        <f>H293*$J293*L_CBac!$G$68</f>
        <v>57520.124999999993</v>
      </c>
      <c r="M293" s="155">
        <f>I293*$J293*L_CBac!$G$68</f>
        <v>74776.162499999991</v>
      </c>
      <c r="N293" s="155">
        <f>$D293*G293*L_CBac!$J$68</f>
        <v>3834.6749999999997</v>
      </c>
      <c r="O293" s="155">
        <f>$D293*H293*L_CBac!$J$68</f>
        <v>3834.6749999999997</v>
      </c>
      <c r="P293" s="155">
        <f>$D293*I293*L_CBac!$J$68</f>
        <v>4985.0775000000003</v>
      </c>
      <c r="Q293" s="155">
        <f>$D293*G293*L_CBac!$J$69</f>
        <v>4211.5384615384619</v>
      </c>
      <c r="R293" s="155">
        <f>$D293*H293*L_CBac!$J$69</f>
        <v>4211.5384615384619</v>
      </c>
      <c r="S293" s="94">
        <f>$D293*I293*L_CBac!$J$69</f>
        <v>5475</v>
      </c>
    </row>
    <row r="294" spans="1:19" s="85" customFormat="1" ht="60.75" customHeight="1">
      <c r="A294" s="122" t="str">
        <f>L_CViec!A443</f>
        <v>2</v>
      </c>
      <c r="B294" s="80" t="str">
        <f>L_CViec!B443</f>
        <v>Nhận, kiểm tra tính đầy đủ của thành phần hồ sơ và cấp Giấy tiếp nhận hồ sơ và hẹn trả kết quả hoặc trả lại hồ sơ, vào sổ theo dõi nhận, trả hồ sơ (theo hình thức trực tiếp, trực tuyến)</v>
      </c>
      <c r="C294" s="78" t="str">
        <f>L_CViec!AB443</f>
        <v>Hồ sơ</v>
      </c>
      <c r="D294" s="78">
        <f>L_CViec!AA443</f>
        <v>1</v>
      </c>
      <c r="E294" s="78" t="str">
        <f>L_CViec!AC443</f>
        <v>1KS3</v>
      </c>
      <c r="F294" s="78" t="str">
        <f>L_CViec!AD443</f>
        <v>1-3</v>
      </c>
      <c r="G294" s="78">
        <f>L_CViec!AE443</f>
        <v>0.3</v>
      </c>
      <c r="H294" s="138">
        <f>L_CViec!AF443</f>
        <v>0.3</v>
      </c>
      <c r="I294" s="138">
        <f>L_CViec!AG443</f>
        <v>0.39</v>
      </c>
      <c r="J294" s="95">
        <f>L_CViec!AH443</f>
        <v>333450</v>
      </c>
      <c r="K294" s="152">
        <f>G294*$J294*L_CBac!$G$68</f>
        <v>115040.24999999999</v>
      </c>
      <c r="L294" s="152">
        <f>H294*$J294*L_CBac!$G$68</f>
        <v>115040.24999999999</v>
      </c>
      <c r="M294" s="152">
        <f>I294*$J294*L_CBac!$G$68</f>
        <v>149552.32499999998</v>
      </c>
      <c r="N294" s="152">
        <f>$D294*G294*L_CBac!$J$68</f>
        <v>7669.3499999999995</v>
      </c>
      <c r="O294" s="152">
        <f>$D294*H294*L_CBac!$J$68</f>
        <v>7669.3499999999995</v>
      </c>
      <c r="P294" s="152">
        <f>$D294*I294*L_CBac!$J$68</f>
        <v>9970.1550000000007</v>
      </c>
      <c r="Q294" s="152">
        <f>$D294*G294*L_CBac!$J$69</f>
        <v>8423.0769230769238</v>
      </c>
      <c r="R294" s="152">
        <f>$D294*H294*L_CBac!$J$69</f>
        <v>8423.0769230769238</v>
      </c>
      <c r="S294" s="96">
        <f>$D294*I294*L_CBac!$J$69</f>
        <v>10950</v>
      </c>
    </row>
    <row r="295" spans="1:19" s="85" customFormat="1" ht="48" customHeight="1">
      <c r="A295" s="122" t="str">
        <f>L_CViec!A444</f>
        <v>3</v>
      </c>
      <c r="B295" s="80" t="str">
        <f>L_CViec!B444</f>
        <v>Tạo tệp (File) dữ liệu hồ sơ số và nhập thông tin do người sử dụng đất, quản lý đất kê khai, đăng ký</v>
      </c>
      <c r="C295" s="78" t="str">
        <f>L_CViec!AB444</f>
        <v>Thửa</v>
      </c>
      <c r="D295" s="78">
        <f>L_CViec!AA444</f>
        <v>1</v>
      </c>
      <c r="E295" s="78" t="str">
        <f>L_CViec!AC444</f>
        <v>1KS3</v>
      </c>
      <c r="F295" s="78" t="str">
        <f>L_CViec!AD444</f>
        <v>1-3</v>
      </c>
      <c r="G295" s="78">
        <f>L_CViec!AE444</f>
        <v>0.107</v>
      </c>
      <c r="H295" s="138">
        <f>L_CViec!AF444</f>
        <v>3.3000000000000002E-2</v>
      </c>
      <c r="I295" s="138">
        <f>L_CViec!AG444</f>
        <v>0.16700000000000001</v>
      </c>
      <c r="J295" s="95">
        <f>L_CViec!AH444</f>
        <v>333450</v>
      </c>
      <c r="K295" s="152">
        <f>G295*$J295*L_CBac!$G$68</f>
        <v>41031.022499999999</v>
      </c>
      <c r="L295" s="152">
        <f>H295*$J295*L_CBac!$G$68</f>
        <v>12654.4275</v>
      </c>
      <c r="M295" s="152">
        <f>I295*$J295*L_CBac!$G$68</f>
        <v>64039.072499999995</v>
      </c>
      <c r="N295" s="152">
        <f>$D295*G295*L_CBac!$J$68</f>
        <v>2735.4014999999999</v>
      </c>
      <c r="O295" s="152">
        <f>$D295*H295*L_CBac!$J$68</f>
        <v>843.62850000000003</v>
      </c>
      <c r="P295" s="152">
        <f>$D295*I295*L_CBac!$J$68</f>
        <v>4269.2714999999998</v>
      </c>
      <c r="Q295" s="152">
        <f>$D295*G295*L_CBac!$J$69</f>
        <v>3004.2307692307695</v>
      </c>
      <c r="R295" s="152">
        <f>$D295*H295*L_CBac!$J$69</f>
        <v>926.53846153846166</v>
      </c>
      <c r="S295" s="96">
        <f>$D295*I295*L_CBac!$J$69</f>
        <v>4688.8461538461543</v>
      </c>
    </row>
    <row r="296" spans="1:19" s="85" customFormat="1" ht="115.5" customHeight="1">
      <c r="A296" s="122" t="str">
        <f>L_CViec!A452</f>
        <v>7</v>
      </c>
      <c r="B296" s="80" t="str">
        <f>L_CViec!B452</f>
        <v>Kiểm tra các điều kiện thực hiện quyền theo quy định của Luật Đất đai đối với trường hợp thực hiện quyền của người sử dụng đất, của chủ sở hữu tài sản gắn liền với đất. Trường hợp không đủ điều kiện thực hiện quyền theo quy định của Luật Đất đai hoặc nhận được một trong các văn bản của cơ quan có thẩm quyền về việc dừng giải quyết thủ tục thì thông báo lý do và trả hồ sơ.</v>
      </c>
      <c r="C296" s="78" t="str">
        <f>L_CViec!AB452</f>
        <v>Hồ sơ</v>
      </c>
      <c r="D296" s="78">
        <f>L_CViec!AA452</f>
        <v>2</v>
      </c>
      <c r="E296" s="78" t="str">
        <f>L_CViec!AC452</f>
        <v>1KS3, 1KS2</v>
      </c>
      <c r="F296" s="78" t="str">
        <f>L_CViec!AD452</f>
        <v>1-3</v>
      </c>
      <c r="G296" s="78">
        <f>L_CViec!AE452</f>
        <v>2</v>
      </c>
      <c r="H296" s="138">
        <f>L_CViec!AF452</f>
        <v>2</v>
      </c>
      <c r="I296" s="138">
        <f>L_CViec!AG452</f>
        <v>2.6</v>
      </c>
      <c r="J296" s="95">
        <f>L_CViec!AH452</f>
        <v>630220.5</v>
      </c>
      <c r="K296" s="152">
        <f>G296*$J296*L_CBac!$G$68</f>
        <v>1449507.15</v>
      </c>
      <c r="L296" s="152">
        <f>H296*$J296*L_CBac!$G$68</f>
        <v>1449507.15</v>
      </c>
      <c r="M296" s="152">
        <f>I296*$J296*L_CBac!$G$68</f>
        <v>1884359.2949999999</v>
      </c>
      <c r="N296" s="152">
        <f>$D296*G296*L_CBac!$J$68</f>
        <v>102258</v>
      </c>
      <c r="O296" s="152">
        <f>$D296*H296*L_CBac!$J$68</f>
        <v>102258</v>
      </c>
      <c r="P296" s="152">
        <f>$D296*I296*L_CBac!$J$68</f>
        <v>132935.4</v>
      </c>
      <c r="Q296" s="152">
        <f>$D296*G296*L_CBac!$J$69</f>
        <v>112307.69230769231</v>
      </c>
      <c r="R296" s="152">
        <f>$D296*H296*L_CBac!$J$69</f>
        <v>112307.69230769231</v>
      </c>
      <c r="S296" s="96">
        <f>$D296*I296*L_CBac!$J$69</f>
        <v>146000</v>
      </c>
    </row>
    <row r="297" spans="1:19" s="85" customFormat="1" ht="25.5">
      <c r="A297" s="122" t="str">
        <f>L_CViec!A457</f>
        <v>12</v>
      </c>
      <c r="B297" s="80" t="str">
        <f>L_CViec!B457</f>
        <v>Nhập ý kiến xác nhận của cấp tỉnh vào tệp (File) dữ liệu hồ sơ số</v>
      </c>
      <c r="C297" s="78" t="str">
        <f>L_CViec!AB457</f>
        <v>Thửa</v>
      </c>
      <c r="D297" s="78">
        <f>L_CViec!AA457</f>
        <v>1</v>
      </c>
      <c r="E297" s="78" t="str">
        <f>L_CViec!AC457</f>
        <v>1KS3</v>
      </c>
      <c r="F297" s="78" t="str">
        <f>L_CViec!AD457</f>
        <v>1-3</v>
      </c>
      <c r="G297" s="78">
        <f>L_CViec!AE457</f>
        <v>3.0000000000000001E-3</v>
      </c>
      <c r="H297" s="138">
        <f>L_CViec!AF457</f>
        <v>3.0000000000000001E-3</v>
      </c>
      <c r="I297" s="138">
        <f>L_CViec!AG457</f>
        <v>3.0000000000000001E-3</v>
      </c>
      <c r="J297" s="95">
        <f>L_CViec!AH457</f>
        <v>333450</v>
      </c>
      <c r="K297" s="152">
        <f>G297*$J297*L_CBac!$G$68</f>
        <v>1150.4024999999999</v>
      </c>
      <c r="L297" s="152">
        <f>H297*$J297*L_CBac!$G$68</f>
        <v>1150.4024999999999</v>
      </c>
      <c r="M297" s="152">
        <f>I297*$J297*L_CBac!$G$68</f>
        <v>1150.4024999999999</v>
      </c>
      <c r="N297" s="152">
        <f>$D297*G297*L_CBac!$J$68</f>
        <v>76.6935</v>
      </c>
      <c r="O297" s="152">
        <f>$D297*H297*L_CBac!$J$68</f>
        <v>76.6935</v>
      </c>
      <c r="P297" s="152">
        <f>$D297*I297*L_CBac!$J$68</f>
        <v>76.6935</v>
      </c>
      <c r="Q297" s="152">
        <f>$D297*G297*L_CBac!$J$69</f>
        <v>84.230769230769241</v>
      </c>
      <c r="R297" s="152">
        <f>$D297*H297*L_CBac!$J$69</f>
        <v>84.230769230769241</v>
      </c>
      <c r="S297" s="96">
        <f>$D297*I297*L_CBac!$J$69</f>
        <v>84.230769230769241</v>
      </c>
    </row>
    <row r="298" spans="1:19" s="85" customFormat="1" ht="67.5" customHeight="1">
      <c r="A298" s="122" t="str">
        <f>L_CViec!A458</f>
        <v>13</v>
      </c>
      <c r="B298" s="80" t="str">
        <f>L_CViec!B458</f>
        <v>Trích lục bản đồ địa chính hoặc trích đo bản đồ địa chính thửa đất đối với nơi chưa có bản đồ địa chính</v>
      </c>
      <c r="C298" s="78">
        <f>L_CViec!AB458</f>
        <v>0</v>
      </c>
      <c r="D298" s="78">
        <f>L_CViec!AA458</f>
        <v>0</v>
      </c>
      <c r="E298" s="78">
        <f>L_CViec!AC458</f>
        <v>0</v>
      </c>
      <c r="F298" s="78">
        <f>L_CViec!AD458</f>
        <v>0</v>
      </c>
      <c r="G298" s="78">
        <f>L_CViec!AE458</f>
        <v>0</v>
      </c>
      <c r="H298" s="138">
        <f>L_CViec!AF458</f>
        <v>0</v>
      </c>
      <c r="I298" s="138">
        <f>L_CViec!AG458</f>
        <v>0</v>
      </c>
      <c r="J298" s="95">
        <f>L_CViec!AH458</f>
        <v>0</v>
      </c>
      <c r="K298" s="152"/>
      <c r="L298" s="152"/>
      <c r="M298" s="152"/>
      <c r="N298" s="152"/>
      <c r="O298" s="152"/>
      <c r="P298" s="152"/>
      <c r="Q298" s="152"/>
      <c r="R298" s="152"/>
      <c r="S298" s="96"/>
    </row>
    <row r="299" spans="1:19" s="85" customFormat="1">
      <c r="A299" s="122" t="str">
        <f>L_CViec!A459</f>
        <v>13.1</v>
      </c>
      <c r="B299" s="80" t="str">
        <f>L_CViec!B459</f>
        <v>Trích lục trên bản đồ dạng số</v>
      </c>
      <c r="C299" s="78" t="str">
        <f>L_CViec!AB459</f>
        <v>Hồ sơ</v>
      </c>
      <c r="D299" s="78">
        <f>L_CViec!AA459</f>
        <v>1</v>
      </c>
      <c r="E299" s="78" t="str">
        <f>L_CViec!AC459</f>
        <v>1KS2</v>
      </c>
      <c r="F299" s="78" t="str">
        <f>L_CViec!AD459</f>
        <v>1-3</v>
      </c>
      <c r="G299" s="78">
        <f>L_CViec!AE459</f>
        <v>0.05</v>
      </c>
      <c r="H299" s="138">
        <f>L_CViec!AF459</f>
        <v>0</v>
      </c>
      <c r="I299" s="138">
        <f>L_CViec!AG459</f>
        <v>0.05</v>
      </c>
      <c r="J299" s="95">
        <f>L_CViec!AH459</f>
        <v>296770.5</v>
      </c>
      <c r="K299" s="155">
        <f>G299*$J299*L_CBac!$G$68</f>
        <v>17064.303749999999</v>
      </c>
      <c r="L299" s="155">
        <f>H299*$J299*L_CBac!$G$68</f>
        <v>0</v>
      </c>
      <c r="M299" s="155">
        <f>I299*$J299*L_CBac!$G$68</f>
        <v>17064.303749999999</v>
      </c>
      <c r="N299" s="155">
        <f>$D299*G299*L_CBac!$J$68</f>
        <v>1278.2250000000001</v>
      </c>
      <c r="O299" s="155">
        <f>$D299*H299*L_CBac!$J$68</f>
        <v>0</v>
      </c>
      <c r="P299" s="155">
        <f>$D299*I299*L_CBac!$J$68</f>
        <v>1278.2250000000001</v>
      </c>
      <c r="Q299" s="155">
        <f>$D299*G299*L_CBac!$J$69</f>
        <v>1403.846153846154</v>
      </c>
      <c r="R299" s="155">
        <f>$D299*H299*L_CBac!$J$69</f>
        <v>0</v>
      </c>
      <c r="S299" s="94">
        <f>$D299*I299*L_CBac!$J$69</f>
        <v>1403.846153846154</v>
      </c>
    </row>
    <row r="300" spans="1:19" s="85" customFormat="1">
      <c r="A300" s="122" t="str">
        <f>L_CViec!A460</f>
        <v>13.2</v>
      </c>
      <c r="B300" s="80" t="str">
        <f>L_CViec!B460</f>
        <v>Trích lục trên bản đồ dạng giấy</v>
      </c>
      <c r="C300" s="78" t="str">
        <f>L_CViec!AB460</f>
        <v>Hồ sơ</v>
      </c>
      <c r="D300" s="78">
        <f>L_CViec!AA460</f>
        <v>1</v>
      </c>
      <c r="E300" s="78" t="str">
        <f>L_CViec!AC460</f>
        <v>1KS2</v>
      </c>
      <c r="F300" s="78" t="str">
        <f>L_CViec!AD460</f>
        <v>1-3</v>
      </c>
      <c r="G300" s="78">
        <f>L_CViec!AE460</f>
        <v>0.1</v>
      </c>
      <c r="H300" s="138">
        <f>L_CViec!AF460</f>
        <v>0</v>
      </c>
      <c r="I300" s="138">
        <f>L_CViec!AG460</f>
        <v>0.1</v>
      </c>
      <c r="J300" s="95">
        <f>L_CViec!AH460</f>
        <v>296770.5</v>
      </c>
      <c r="K300" s="155">
        <f>G300*$J300*L_CBac!$G$68</f>
        <v>34128.607499999998</v>
      </c>
      <c r="L300" s="155">
        <f>H300*$J300*L_CBac!$G$68</f>
        <v>0</v>
      </c>
      <c r="M300" s="155">
        <f>I300*$J300*L_CBac!$G$68</f>
        <v>34128.607499999998</v>
      </c>
      <c r="N300" s="155">
        <f>$D300*G300*L_CBac!$J$68</f>
        <v>2556.4500000000003</v>
      </c>
      <c r="O300" s="155">
        <f>$D300*H300*L_CBac!$J$68</f>
        <v>0</v>
      </c>
      <c r="P300" s="155">
        <f>$D300*I300*L_CBac!$J$68</f>
        <v>2556.4500000000003</v>
      </c>
      <c r="Q300" s="155">
        <f>$D300*G300*L_CBac!$J$69</f>
        <v>2807.6923076923081</v>
      </c>
      <c r="R300" s="155">
        <f>$D300*H300*L_CBac!$J$69</f>
        <v>0</v>
      </c>
      <c r="S300" s="94">
        <f>$D300*I300*L_CBac!$J$69</f>
        <v>2807.6923076923081</v>
      </c>
    </row>
    <row r="301" spans="1:19" s="85" customFormat="1" ht="25.5">
      <c r="A301" s="122">
        <f>L_CViec!A461</f>
        <v>14</v>
      </c>
      <c r="B301" s="80" t="str">
        <f>L_CViec!B461</f>
        <v>Lập và gửi Phiếu chuyển thông tin để xác định nghĩa vụ tài chính về đất đai (nếu có)</v>
      </c>
      <c r="C301" s="78" t="str">
        <f>L_CViec!AB461</f>
        <v>Hồ sơ</v>
      </c>
      <c r="D301" s="78">
        <f>L_CViec!AA461</f>
        <v>1</v>
      </c>
      <c r="E301" s="78" t="str">
        <f>L_CViec!AC461</f>
        <v>1KS2</v>
      </c>
      <c r="F301" s="78" t="str">
        <f>L_CViec!AD461</f>
        <v>1-3</v>
      </c>
      <c r="G301" s="78">
        <f>L_CViec!AE461</f>
        <v>0.2</v>
      </c>
      <c r="H301" s="138">
        <f>L_CViec!AF461</f>
        <v>0.2</v>
      </c>
      <c r="I301" s="138">
        <f>L_CViec!AG461</f>
        <v>0.26</v>
      </c>
      <c r="J301" s="95">
        <f>L_CViec!AH461</f>
        <v>296770.5</v>
      </c>
      <c r="K301" s="152">
        <f>G301*$J301*L_CBac!$G$68</f>
        <v>68257.214999999997</v>
      </c>
      <c r="L301" s="152">
        <f>H301*$J301*L_CBac!$G$68</f>
        <v>68257.214999999997</v>
      </c>
      <c r="M301" s="152">
        <f>I301*$J301*L_CBac!$G$68</f>
        <v>88734.379499999995</v>
      </c>
      <c r="N301" s="152">
        <f>$D301*G301*L_CBac!$J$68</f>
        <v>5112.9000000000005</v>
      </c>
      <c r="O301" s="152">
        <f>$D301*H301*L_CBac!$J$68</f>
        <v>5112.9000000000005</v>
      </c>
      <c r="P301" s="152">
        <f>$D301*I301*L_CBac!$J$68</f>
        <v>6646.77</v>
      </c>
      <c r="Q301" s="152">
        <f>$D301*G301*L_CBac!$J$69</f>
        <v>5615.3846153846162</v>
      </c>
      <c r="R301" s="152">
        <f>$D301*H301*L_CBac!$J$69</f>
        <v>5615.3846153846162</v>
      </c>
      <c r="S301" s="96">
        <f>$D301*I301*L_CBac!$J$69</f>
        <v>7300.0000000000009</v>
      </c>
    </row>
    <row r="302" spans="1:19" s="85" customFormat="1" ht="25.5">
      <c r="A302" s="122" t="str">
        <f>L_CViec!A467</f>
        <v>16</v>
      </c>
      <c r="B302" s="80" t="str">
        <f>L_CViec!B467</f>
        <v>Nhập thông tin về nghĩa vụ tài chính, đăng ký vào hồ sơ địa chính</v>
      </c>
      <c r="C302" s="78" t="str">
        <f>L_CViec!AB467</f>
        <v>Thửa</v>
      </c>
      <c r="D302" s="78">
        <f>L_CViec!AA467</f>
        <v>1</v>
      </c>
      <c r="E302" s="78" t="str">
        <f>L_CViec!AC467</f>
        <v>1KS3</v>
      </c>
      <c r="F302" s="78" t="str">
        <f>L_CViec!AD467</f>
        <v>1-3</v>
      </c>
      <c r="G302" s="78">
        <f>L_CViec!AE467</f>
        <v>3.3000000000000002E-2</v>
      </c>
      <c r="H302" s="138">
        <f>L_CViec!AF467</f>
        <v>3.3000000000000002E-2</v>
      </c>
      <c r="I302" s="138">
        <f>L_CViec!AG467</f>
        <v>3.3000000000000002E-2</v>
      </c>
      <c r="J302" s="95">
        <f>L_CViec!AH467</f>
        <v>333450</v>
      </c>
      <c r="K302" s="152">
        <f>G302*$J302*L_CBac!$G$68</f>
        <v>12654.4275</v>
      </c>
      <c r="L302" s="152">
        <f>H302*$J302*L_CBac!$G$68</f>
        <v>12654.4275</v>
      </c>
      <c r="M302" s="152">
        <f>I302*$J302*L_CBac!$G$68</f>
        <v>12654.4275</v>
      </c>
      <c r="N302" s="152">
        <f>$D302*G302*L_CBac!$J$68</f>
        <v>843.62850000000003</v>
      </c>
      <c r="O302" s="152">
        <f>$D302*H302*L_CBac!$J$68</f>
        <v>843.62850000000003</v>
      </c>
      <c r="P302" s="152">
        <f>$D302*I302*L_CBac!$J$68</f>
        <v>843.62850000000003</v>
      </c>
      <c r="Q302" s="152">
        <f>$D302*G302*L_CBac!$J$69</f>
        <v>926.53846153846166</v>
      </c>
      <c r="R302" s="152">
        <f>$D302*H302*L_CBac!$J$69</f>
        <v>926.53846153846166</v>
      </c>
      <c r="S302" s="96">
        <f>$D302*I302*L_CBac!$J$69</f>
        <v>926.53846153846166</v>
      </c>
    </row>
    <row r="303" spans="1:19" s="85" customFormat="1">
      <c r="A303" s="122" t="str">
        <f>L_CViec!A468</f>
        <v>17</v>
      </c>
      <c r="B303" s="80" t="str">
        <f>L_CViec!B468</f>
        <v>In GCN</v>
      </c>
      <c r="C303" s="78">
        <f>L_CViec!AB468</f>
        <v>0</v>
      </c>
      <c r="D303" s="78">
        <f>L_CViec!AA468</f>
        <v>1</v>
      </c>
      <c r="E303" s="78">
        <f>L_CViec!AC468</f>
        <v>0</v>
      </c>
      <c r="F303" s="78">
        <f>L_CViec!AD468</f>
        <v>0</v>
      </c>
      <c r="G303" s="78">
        <f>L_CViec!AE468</f>
        <v>0</v>
      </c>
      <c r="H303" s="138">
        <f>L_CViec!AF468</f>
        <v>0</v>
      </c>
      <c r="I303" s="138">
        <f>L_CViec!AG468</f>
        <v>0</v>
      </c>
      <c r="J303" s="95"/>
      <c r="K303" s="152"/>
      <c r="L303" s="152"/>
      <c r="M303" s="152"/>
      <c r="N303" s="152"/>
      <c r="O303" s="152"/>
      <c r="P303" s="152"/>
      <c r="Q303" s="152"/>
      <c r="R303" s="152"/>
      <c r="S303" s="96"/>
    </row>
    <row r="304" spans="1:19" s="85" customFormat="1">
      <c r="A304" s="122" t="str">
        <f>L_CViec!A469</f>
        <v>17.1</v>
      </c>
      <c r="B304" s="80" t="str">
        <f>L_CViec!B469</f>
        <v>Trực tiếp từ cơ sở dữ liệu dạng số</v>
      </c>
      <c r="C304" s="78" t="str">
        <f>L_CViec!AB469</f>
        <v>GCN</v>
      </c>
      <c r="D304" s="78">
        <f>L_CViec!AA469</f>
        <v>1</v>
      </c>
      <c r="E304" s="78" t="str">
        <f>L_CViec!AC469</f>
        <v>1KS2</v>
      </c>
      <c r="F304" s="78" t="str">
        <f>L_CViec!AD469</f>
        <v>1-3</v>
      </c>
      <c r="G304" s="78">
        <f>L_CViec!AE469</f>
        <v>0.1</v>
      </c>
      <c r="H304" s="138">
        <f>L_CViec!AF469</f>
        <v>0.1</v>
      </c>
      <c r="I304" s="138">
        <f>L_CViec!AG469</f>
        <v>0.1</v>
      </c>
      <c r="J304" s="95">
        <f>L_CViec!AH469</f>
        <v>296770.5</v>
      </c>
      <c r="K304" s="155">
        <f>G304*$J304*L_CBac!$G$68</f>
        <v>34128.607499999998</v>
      </c>
      <c r="L304" s="155">
        <f>H304*$J304*L_CBac!$G$68</f>
        <v>34128.607499999998</v>
      </c>
      <c r="M304" s="155">
        <f>I304*$J304*L_CBac!$G$68</f>
        <v>34128.607499999998</v>
      </c>
      <c r="N304" s="155">
        <f>$D304*G304*L_CBac!$J$68</f>
        <v>2556.4500000000003</v>
      </c>
      <c r="O304" s="155">
        <f>$D304*H304*L_CBac!$J$68</f>
        <v>2556.4500000000003</v>
      </c>
      <c r="P304" s="155">
        <f>$D304*I304*L_CBac!$J$68</f>
        <v>2556.4500000000003</v>
      </c>
      <c r="Q304" s="155">
        <f>$D304*G304*L_CBac!$J$69</f>
        <v>2807.6923076923081</v>
      </c>
      <c r="R304" s="155">
        <f>$D304*H304*L_CBac!$J$69</f>
        <v>2807.6923076923081</v>
      </c>
      <c r="S304" s="94">
        <f>$D304*I304*L_CBac!$J$69</f>
        <v>2807.6923076923081</v>
      </c>
    </row>
    <row r="305" spans="1:19" s="85" customFormat="1">
      <c r="A305" s="122" t="str">
        <f>L_CViec!A470</f>
        <v>17.2</v>
      </c>
      <c r="B305" s="80" t="str">
        <f>L_CViec!B470</f>
        <v>Đối với những nơi chưa có bản đồ dạng số</v>
      </c>
      <c r="C305" s="78" t="str">
        <f>L_CViec!AB470</f>
        <v>GCN</v>
      </c>
      <c r="D305" s="78">
        <f>L_CViec!AA470</f>
        <v>1</v>
      </c>
      <c r="E305" s="78" t="str">
        <f>L_CViec!AC470</f>
        <v>1KS2</v>
      </c>
      <c r="F305" s="78" t="str">
        <f>L_CViec!AD470</f>
        <v>1-3</v>
      </c>
      <c r="G305" s="78">
        <f>L_CViec!AE470</f>
        <v>0.15</v>
      </c>
      <c r="H305" s="138">
        <f>L_CViec!AF470</f>
        <v>0.2</v>
      </c>
      <c r="I305" s="138">
        <f>L_CViec!AG470</f>
        <v>0.2</v>
      </c>
      <c r="J305" s="95">
        <f>L_CViec!AH470</f>
        <v>296770.5</v>
      </c>
      <c r="K305" s="155">
        <f>G305*$J305*L_CBac!$G$68</f>
        <v>51192.91124999999</v>
      </c>
      <c r="L305" s="155">
        <f>H305*$J305*L_CBac!$G$68</f>
        <v>68257.214999999997</v>
      </c>
      <c r="M305" s="155">
        <f>I305*$J305*L_CBac!$G$68</f>
        <v>68257.214999999997</v>
      </c>
      <c r="N305" s="155">
        <f>$D305*G305*L_CBac!$J$68</f>
        <v>3834.6749999999997</v>
      </c>
      <c r="O305" s="155">
        <f>$D305*H305*L_CBac!$J$68</f>
        <v>5112.9000000000005</v>
      </c>
      <c r="P305" s="155">
        <f>$D305*I305*L_CBac!$J$68</f>
        <v>5112.9000000000005</v>
      </c>
      <c r="Q305" s="155">
        <f>$D305*G305*L_CBac!$J$69</f>
        <v>4211.5384615384619</v>
      </c>
      <c r="R305" s="155">
        <f>$D305*H305*L_CBac!$J$69</f>
        <v>5615.3846153846162</v>
      </c>
      <c r="S305" s="94">
        <f>$D305*I305*L_CBac!$J$69</f>
        <v>5615.3846153846162</v>
      </c>
    </row>
    <row r="306" spans="1:19" s="85" customFormat="1" ht="45.75" customHeight="1">
      <c r="A306" s="122" t="str">
        <f>L_CViec!A471</f>
        <v>18</v>
      </c>
      <c r="B306" s="80" t="str">
        <f>L_CViec!B471</f>
        <v>Xác nhận nội dung biến động trên GCN hoặc cấp GCN mới</v>
      </c>
      <c r="C306" s="78" t="str">
        <f>L_CViec!AB471</f>
        <v>GCN</v>
      </c>
      <c r="D306" s="78">
        <f>L_CViec!AA471</f>
        <v>1</v>
      </c>
      <c r="E306" s="78" t="str">
        <f>L_CViec!AC471</f>
        <v>1KS2</v>
      </c>
      <c r="F306" s="78" t="str">
        <f>L_CViec!AD471</f>
        <v>1-3</v>
      </c>
      <c r="G306" s="78">
        <f>L_CViec!AE471</f>
        <v>0.1</v>
      </c>
      <c r="H306" s="138">
        <f>L_CViec!AF471</f>
        <v>0.1</v>
      </c>
      <c r="I306" s="138">
        <f>L_CViec!AG471</f>
        <v>0.1</v>
      </c>
      <c r="J306" s="95">
        <f>L_CViec!AH471</f>
        <v>296770.5</v>
      </c>
      <c r="K306" s="152">
        <f>G306*$J306*L_CBac!$G$68</f>
        <v>34128.607499999998</v>
      </c>
      <c r="L306" s="152">
        <f>H306*$J306*L_CBac!$G$68</f>
        <v>34128.607499999998</v>
      </c>
      <c r="M306" s="152">
        <f>I306*$J306*L_CBac!$G$68</f>
        <v>34128.607499999998</v>
      </c>
      <c r="N306" s="152">
        <f>$D306*G306*L_CBac!$J$68</f>
        <v>2556.4500000000003</v>
      </c>
      <c r="O306" s="152">
        <f>$D306*H306*L_CBac!$J$68</f>
        <v>2556.4500000000003</v>
      </c>
      <c r="P306" s="152">
        <f>$D306*I306*L_CBac!$J$68</f>
        <v>2556.4500000000003</v>
      </c>
      <c r="Q306" s="152">
        <f>$D306*G306*L_CBac!$J$69</f>
        <v>2807.6923076923081</v>
      </c>
      <c r="R306" s="152">
        <f>$D306*H306*L_CBac!$J$69</f>
        <v>2807.6923076923081</v>
      </c>
      <c r="S306" s="96">
        <f>$D306*I306*L_CBac!$J$69</f>
        <v>2807.6923076923081</v>
      </c>
    </row>
    <row r="307" spans="1:19" s="85" customFormat="1" ht="38.25">
      <c r="A307" s="122" t="str">
        <f>L_CViec!A472</f>
        <v>19</v>
      </c>
      <c r="B307" s="80" t="str">
        <f>L_CViec!B472</f>
        <v>Thu hồi Giấy chứng nhận đã cấp của bên thuê, bên thuê lại đất đối với trường hợp xóa cho thuê, cho thuê lại đất</v>
      </c>
      <c r="C307" s="78" t="str">
        <f>L_CViec!AB472</f>
        <v>GCN</v>
      </c>
      <c r="D307" s="78">
        <f>L_CViec!AA472</f>
        <v>1</v>
      </c>
      <c r="E307" s="78" t="str">
        <f>L_CViec!AC472</f>
        <v>1KS2</v>
      </c>
      <c r="F307" s="78" t="str">
        <f>L_CViec!AD472</f>
        <v>1-3</v>
      </c>
      <c r="G307" s="78">
        <f>L_CViec!AE472</f>
        <v>0.1</v>
      </c>
      <c r="H307" s="138">
        <f>L_CViec!AF472</f>
        <v>0.1</v>
      </c>
      <c r="I307" s="138">
        <f>L_CViec!AG472</f>
        <v>0.1</v>
      </c>
      <c r="J307" s="95">
        <f>L_CViec!AH472</f>
        <v>296770.5</v>
      </c>
      <c r="K307" s="152">
        <f>G307*$J307*L_CBac!$G$68</f>
        <v>34128.607499999998</v>
      </c>
      <c r="L307" s="152">
        <f>H307*$J307*L_CBac!$G$68</f>
        <v>34128.607499999998</v>
      </c>
      <c r="M307" s="152">
        <f>I307*$J307*L_CBac!$G$68</f>
        <v>34128.607499999998</v>
      </c>
      <c r="N307" s="152">
        <f>$D307*G307*L_CBac!$J$68</f>
        <v>2556.4500000000003</v>
      </c>
      <c r="O307" s="152">
        <f>$D307*H307*L_CBac!$J$68</f>
        <v>2556.4500000000003</v>
      </c>
      <c r="P307" s="152">
        <f>$D307*I307*L_CBac!$J$68</f>
        <v>2556.4500000000003</v>
      </c>
      <c r="Q307" s="152">
        <f>$D307*G307*L_CBac!$J$69</f>
        <v>2807.6923076923081</v>
      </c>
      <c r="R307" s="152">
        <f>$D307*H307*L_CBac!$J$69</f>
        <v>2807.6923076923081</v>
      </c>
      <c r="S307" s="96">
        <f>$D307*I307*L_CBac!$J$69</f>
        <v>2807.6923076923081</v>
      </c>
    </row>
    <row r="308" spans="1:19" s="85" customFormat="1" ht="84" customHeight="1">
      <c r="A308" s="122" t="str">
        <f>L_CViec!A473</f>
        <v>20</v>
      </c>
      <c r="B308" s="80" t="str">
        <f>L_CViec!B473</f>
        <v>Nhập thông tin vào Sổ cấp giấy; gửi thông báo biến động cho cấp xã</v>
      </c>
      <c r="C308" s="78" t="str">
        <f>L_CViec!AB473</f>
        <v>Hồ sơ</v>
      </c>
      <c r="D308" s="78">
        <f>L_CViec!AA473</f>
        <v>1</v>
      </c>
      <c r="E308" s="78" t="str">
        <f>L_CViec!AC473</f>
        <v>1KS3</v>
      </c>
      <c r="F308" s="78" t="str">
        <f>L_CViec!AD473</f>
        <v>1-3</v>
      </c>
      <c r="G308" s="78">
        <f>L_CViec!AE473</f>
        <v>0.37</v>
      </c>
      <c r="H308" s="138">
        <f>L_CViec!AF473</f>
        <v>0.37</v>
      </c>
      <c r="I308" s="138">
        <f>L_CViec!AG473</f>
        <v>0.44400000000000001</v>
      </c>
      <c r="J308" s="95">
        <f>L_CViec!AH473</f>
        <v>333450</v>
      </c>
      <c r="K308" s="152">
        <f>G308*$J308*L_CBac!$G$68</f>
        <v>141882.97499999998</v>
      </c>
      <c r="L308" s="152">
        <f>H308*$J308*L_CBac!$G$68</f>
        <v>141882.97499999998</v>
      </c>
      <c r="M308" s="152">
        <f>I308*$J308*L_CBac!$G$68</f>
        <v>170259.56999999998</v>
      </c>
      <c r="N308" s="152">
        <f>$D308*G308*L_CBac!$J$68</f>
        <v>9458.8649999999998</v>
      </c>
      <c r="O308" s="152">
        <f>$D308*H308*L_CBac!$J$68</f>
        <v>9458.8649999999998</v>
      </c>
      <c r="P308" s="152">
        <f>$D308*I308*L_CBac!$J$68</f>
        <v>11350.638000000001</v>
      </c>
      <c r="Q308" s="152">
        <f>$D308*G308*L_CBac!$J$69</f>
        <v>10388.461538461539</v>
      </c>
      <c r="R308" s="152">
        <f>$D308*H308*L_CBac!$J$69</f>
        <v>10388.461538461539</v>
      </c>
      <c r="S308" s="96">
        <f>$D308*I308*L_CBac!$J$69</f>
        <v>12466.153846153848</v>
      </c>
    </row>
    <row r="309" spans="1:19" s="85" customFormat="1">
      <c r="A309" s="122" t="str">
        <f>L_CViec!A474</f>
        <v>21</v>
      </c>
      <c r="B309" s="80" t="str">
        <f>L_CViec!B474</f>
        <v>Nhập bổ sung thông tin dữ liệu về GCN</v>
      </c>
      <c r="C309" s="78" t="str">
        <f>L_CViec!AB474</f>
        <v>Thửa</v>
      </c>
      <c r="D309" s="78">
        <f>L_CViec!AA474</f>
        <v>1</v>
      </c>
      <c r="E309" s="78" t="str">
        <f>L_CViec!AC474</f>
        <v>1KS3</v>
      </c>
      <c r="F309" s="78" t="str">
        <f>L_CViec!AD474</f>
        <v>1-3</v>
      </c>
      <c r="G309" s="78">
        <f>L_CViec!AE474</f>
        <v>3.3000000000000002E-2</v>
      </c>
      <c r="H309" s="138">
        <f>L_CViec!AF474</f>
        <v>3.3000000000000002E-2</v>
      </c>
      <c r="I309" s="138">
        <f>L_CViec!AG474</f>
        <v>3.3000000000000002E-2</v>
      </c>
      <c r="J309" s="95">
        <f>L_CViec!AH474</f>
        <v>333450</v>
      </c>
      <c r="K309" s="152">
        <f>G309*$J309*L_CBac!$G$68</f>
        <v>12654.4275</v>
      </c>
      <c r="L309" s="152">
        <f>H309*$J309*L_CBac!$G$68</f>
        <v>12654.4275</v>
      </c>
      <c r="M309" s="152">
        <f>I309*$J309*L_CBac!$G$68</f>
        <v>12654.4275</v>
      </c>
      <c r="N309" s="152">
        <f>$D309*G309*L_CBac!$J$68</f>
        <v>843.62850000000003</v>
      </c>
      <c r="O309" s="152">
        <f>$D309*H309*L_CBac!$J$68</f>
        <v>843.62850000000003</v>
      </c>
      <c r="P309" s="152">
        <f>$D309*I309*L_CBac!$J$68</f>
        <v>843.62850000000003</v>
      </c>
      <c r="Q309" s="152">
        <f>$D309*G309*L_CBac!$J$69</f>
        <v>926.53846153846166</v>
      </c>
      <c r="R309" s="152">
        <f>$D309*H309*L_CBac!$J$69</f>
        <v>926.53846153846166</v>
      </c>
      <c r="S309" s="96">
        <f>$D309*I309*L_CBac!$J$69</f>
        <v>926.53846153846166</v>
      </c>
    </row>
    <row r="310" spans="1:19" s="85" customFormat="1">
      <c r="A310" s="122" t="e">
        <f>L_CViec!#REF!</f>
        <v>#REF!</v>
      </c>
      <c r="B310" s="80" t="e">
        <f>L_CViec!#REF!</f>
        <v>#REF!</v>
      </c>
      <c r="C310" s="78" t="e">
        <f>L_CViec!#REF!</f>
        <v>#REF!</v>
      </c>
      <c r="D310" s="78" t="e">
        <f>L_CViec!#REF!</f>
        <v>#REF!</v>
      </c>
      <c r="E310" s="78" t="e">
        <f>L_CViec!#REF!</f>
        <v>#REF!</v>
      </c>
      <c r="F310" s="78" t="e">
        <f>L_CViec!#REF!</f>
        <v>#REF!</v>
      </c>
      <c r="G310" s="78" t="e">
        <f>L_CViec!#REF!</f>
        <v>#REF!</v>
      </c>
      <c r="H310" s="138" t="e">
        <f>L_CViec!#REF!</f>
        <v>#REF!</v>
      </c>
      <c r="I310" s="138" t="e">
        <f>L_CViec!#REF!</f>
        <v>#REF!</v>
      </c>
      <c r="J310" s="95" t="e">
        <f>L_CViec!#REF!</f>
        <v>#REF!</v>
      </c>
      <c r="K310" s="152">
        <f>K311+K314+K315</f>
        <v>25722.999899999999</v>
      </c>
      <c r="L310" s="152">
        <f t="shared" ref="L310:S310" si="49">L311+L314+L315</f>
        <v>25722.999899999999</v>
      </c>
      <c r="M310" s="152">
        <f t="shared" si="49"/>
        <v>31405.988249999995</v>
      </c>
      <c r="N310" s="152">
        <f t="shared" si="49"/>
        <v>971.45100000000002</v>
      </c>
      <c r="O310" s="152">
        <f t="shared" si="49"/>
        <v>971.45100000000002</v>
      </c>
      <c r="P310" s="152">
        <f t="shared" si="49"/>
        <v>1150.4025000000001</v>
      </c>
      <c r="Q310" s="152">
        <f t="shared" si="49"/>
        <v>1066.9230769230769</v>
      </c>
      <c r="R310" s="152">
        <f t="shared" si="49"/>
        <v>1066.9230769230769</v>
      </c>
      <c r="S310" s="96">
        <f t="shared" si="49"/>
        <v>1263.4615384615386</v>
      </c>
    </row>
    <row r="311" spans="1:19" s="85" customFormat="1" ht="42.75" customHeight="1">
      <c r="A311" s="122" t="str">
        <f>L_CViec!A475</f>
        <v>22</v>
      </c>
      <c r="B311" s="80" t="str">
        <f>L_CViec!B475</f>
        <v>Quét giấy tờ pháp lý về quyền sử dụng đất, quyền sở hữu nhà ở và tài sản khác gắn liền với đất</v>
      </c>
      <c r="C311" s="78">
        <f>L_CViec!AB475</f>
        <v>0</v>
      </c>
      <c r="D311" s="78">
        <f>L_CViec!AA475</f>
        <v>0</v>
      </c>
      <c r="E311" s="78">
        <f>L_CViec!AC475</f>
        <v>0</v>
      </c>
      <c r="F311" s="78">
        <f>L_CViec!AD475</f>
        <v>0</v>
      </c>
      <c r="G311" s="78">
        <f>L_CViec!AE475</f>
        <v>0</v>
      </c>
      <c r="H311" s="138">
        <f>L_CViec!AF475</f>
        <v>0</v>
      </c>
      <c r="I311" s="138">
        <f>L_CViec!AG475</f>
        <v>0</v>
      </c>
      <c r="J311" s="95">
        <f>L_CViec!AH475</f>
        <v>0</v>
      </c>
      <c r="K311" s="152">
        <f t="shared" ref="K311:S311" si="50">SUM(K312:K313)</f>
        <v>16749.860399999998</v>
      </c>
      <c r="L311" s="152">
        <f t="shared" si="50"/>
        <v>16749.860399999998</v>
      </c>
      <c r="M311" s="152">
        <f t="shared" si="50"/>
        <v>20937.325499999995</v>
      </c>
      <c r="N311" s="152">
        <f t="shared" si="50"/>
        <v>613.548</v>
      </c>
      <c r="O311" s="152">
        <f t="shared" si="50"/>
        <v>613.548</v>
      </c>
      <c r="P311" s="152">
        <f t="shared" si="50"/>
        <v>766.93500000000006</v>
      </c>
      <c r="Q311" s="152">
        <f t="shared" si="50"/>
        <v>673.84615384615392</v>
      </c>
      <c r="R311" s="152">
        <f t="shared" si="50"/>
        <v>673.84615384615392</v>
      </c>
      <c r="S311" s="96">
        <f t="shared" si="50"/>
        <v>842.30769230769238</v>
      </c>
    </row>
    <row r="312" spans="1:19" s="85" customFormat="1">
      <c r="A312" s="122" t="str">
        <f>L_CViec!A476</f>
        <v>22.1</v>
      </c>
      <c r="B312" s="80" t="str">
        <f>L_CViec!B476</f>
        <v>Quét trang A3</v>
      </c>
      <c r="C312" s="78" t="str">
        <f>L_CViec!AB476</f>
        <v>Trang</v>
      </c>
      <c r="D312" s="78">
        <f>L_CViec!AA476</f>
        <v>1</v>
      </c>
      <c r="E312" s="78" t="str">
        <f>L_CViec!AC476</f>
        <v>1KS1</v>
      </c>
      <c r="F312" s="78" t="str">
        <f>L_CViec!AD476</f>
        <v>1-3</v>
      </c>
      <c r="G312" s="78">
        <f>L_CViec!AE476</f>
        <v>1.6E-2</v>
      </c>
      <c r="H312" s="138">
        <f>L_CViec!AF476</f>
        <v>1.6E-2</v>
      </c>
      <c r="I312" s="138">
        <f>L_CViec!AG476</f>
        <v>0.02</v>
      </c>
      <c r="J312" s="95">
        <f>L_CViec!AH476</f>
        <v>260091</v>
      </c>
      <c r="K312" s="155">
        <f>G312*$J312*L_CBac!$G$68*2</f>
        <v>9571.3487999999998</v>
      </c>
      <c r="L312" s="155">
        <f>H312*$J312*L_CBac!$G$68*2</f>
        <v>9571.3487999999998</v>
      </c>
      <c r="M312" s="155">
        <f>I312*$J312*L_CBac!$G$68*2</f>
        <v>11964.185999999998</v>
      </c>
      <c r="N312" s="155">
        <f>$D312*G312*L_CBac!$J$68</f>
        <v>409.03199999999998</v>
      </c>
      <c r="O312" s="155">
        <f>$D312*H312*L_CBac!$J$68</f>
        <v>409.03199999999998</v>
      </c>
      <c r="P312" s="155">
        <f>$D312*I312*L_CBac!$J$68</f>
        <v>511.29</v>
      </c>
      <c r="Q312" s="93">
        <f>$D312*G312*L_CBac!$J$69</f>
        <v>449.23076923076928</v>
      </c>
      <c r="R312" s="93">
        <f>$D312*H312*L_CBac!$J$69</f>
        <v>449.23076923076928</v>
      </c>
      <c r="S312" s="94">
        <f>$D312*I312*L_CBac!$J$69</f>
        <v>561.53846153846155</v>
      </c>
    </row>
    <row r="313" spans="1:19" s="85" customFormat="1">
      <c r="A313" s="122" t="str">
        <f>L_CViec!A477</f>
        <v>22.2</v>
      </c>
      <c r="B313" s="80" t="str">
        <f>L_CViec!B477</f>
        <v>Quét trang A4</v>
      </c>
      <c r="C313" s="78" t="str">
        <f>L_CViec!AB477</f>
        <v>Trang</v>
      </c>
      <c r="D313" s="78">
        <f>L_CViec!AA477</f>
        <v>1</v>
      </c>
      <c r="E313" s="78" t="str">
        <f>L_CViec!AC477</f>
        <v>1KS1</v>
      </c>
      <c r="F313" s="78" t="str">
        <f>L_CViec!AD477</f>
        <v>1-3</v>
      </c>
      <c r="G313" s="78">
        <f>L_CViec!AE477</f>
        <v>8.0000000000000002E-3</v>
      </c>
      <c r="H313" s="138">
        <f>L_CViec!AF477</f>
        <v>8.0000000000000002E-3</v>
      </c>
      <c r="I313" s="138">
        <f>L_CViec!AG477</f>
        <v>0.01</v>
      </c>
      <c r="J313" s="95">
        <f>L_CViec!AH477</f>
        <v>260091</v>
      </c>
      <c r="K313" s="155">
        <f>G313*$J313*L_CBac!$G$68*3</f>
        <v>7178.5115999999998</v>
      </c>
      <c r="L313" s="155">
        <f>H313*$J313*L_CBac!$G$68*3</f>
        <v>7178.5115999999998</v>
      </c>
      <c r="M313" s="155">
        <f>I313*$J313*L_CBac!$G$68*3</f>
        <v>8973.1394999999975</v>
      </c>
      <c r="N313" s="155">
        <f>$D313*G313*L_CBac!$J$68</f>
        <v>204.51599999999999</v>
      </c>
      <c r="O313" s="155">
        <f>$D313*H313*L_CBac!$J$68</f>
        <v>204.51599999999999</v>
      </c>
      <c r="P313" s="155">
        <f>$D313*I313*L_CBac!$J$68</f>
        <v>255.64500000000001</v>
      </c>
      <c r="Q313" s="93">
        <f>$D313*G313*L_CBac!$J$69</f>
        <v>224.61538461538464</v>
      </c>
      <c r="R313" s="93">
        <f>$D313*H313*L_CBac!$J$69</f>
        <v>224.61538461538464</v>
      </c>
      <c r="S313" s="94">
        <f>$D313*I313*L_CBac!$J$69</f>
        <v>280.76923076923077</v>
      </c>
    </row>
    <row r="314" spans="1:19" s="85" customFormat="1" ht="44.25" customHeight="1">
      <c r="A314" s="122" t="str">
        <f>L_CViec!A478</f>
        <v>23</v>
      </c>
      <c r="B314" s="80" t="str">
        <f>L_CViec!B478</f>
        <v>Xử lý các tệp tin quét thành tệp (File) hồ sơ quét dạng số của thửa đất, lưu trữ dưới khuôn dạng tệp tin PDF</v>
      </c>
      <c r="C314" s="78" t="str">
        <f>L_CViec!AB478</f>
        <v>Trang</v>
      </c>
      <c r="D314" s="78">
        <f>L_CViec!AA478</f>
        <v>1</v>
      </c>
      <c r="E314" s="78" t="str">
        <f>L_CViec!AC478</f>
        <v>1KS1</v>
      </c>
      <c r="F314" s="78" t="str">
        <f>L_CViec!AD478</f>
        <v>1-3</v>
      </c>
      <c r="G314" s="78">
        <f>L_CViec!AE478</f>
        <v>4.0000000000000001E-3</v>
      </c>
      <c r="H314" s="138">
        <f>L_CViec!AF478</f>
        <v>4.0000000000000001E-3</v>
      </c>
      <c r="I314" s="138">
        <f>L_CViec!AG478</f>
        <v>5.0000000000000001E-3</v>
      </c>
      <c r="J314" s="95">
        <f>L_CViec!AH478</f>
        <v>260091</v>
      </c>
      <c r="K314" s="155">
        <f>G314*$J314*L_CBac!$G$68*5</f>
        <v>5982.0929999999998</v>
      </c>
      <c r="L314" s="155">
        <f>H314*$J314*L_CBac!$G$68*5</f>
        <v>5982.0929999999998</v>
      </c>
      <c r="M314" s="155">
        <f>I314*$J314*L_CBac!$G$68*5</f>
        <v>7477.6162499999991</v>
      </c>
      <c r="N314" s="155">
        <f>$D314*G314*L_CBac!$J$68</f>
        <v>102.258</v>
      </c>
      <c r="O314" s="155">
        <f>$D314*H314*L_CBac!$J$68</f>
        <v>102.258</v>
      </c>
      <c r="P314" s="155">
        <f>$D314*I314*L_CBac!$J$68</f>
        <v>127.82250000000001</v>
      </c>
      <c r="Q314" s="93">
        <f>$D314*G314*L_CBac!$J$69</f>
        <v>112.30769230769232</v>
      </c>
      <c r="R314" s="93">
        <f>$D314*H314*L_CBac!$J$69</f>
        <v>112.30769230769232</v>
      </c>
      <c r="S314" s="94">
        <f>$D314*I314*L_CBac!$J$69</f>
        <v>140.38461538461539</v>
      </c>
    </row>
    <row r="315" spans="1:19" s="85" customFormat="1" ht="28.5" customHeight="1">
      <c r="A315" s="126" t="str">
        <f>L_CViec!A479</f>
        <v>24</v>
      </c>
      <c r="B315" s="100" t="str">
        <f>L_CViec!B479</f>
        <v>Tạo liên kết hồ sơ quét dạng số với thửa đất trong cơ sở dữ liệu</v>
      </c>
      <c r="C315" s="102" t="str">
        <f>L_CViec!AB479</f>
        <v>Thửa</v>
      </c>
      <c r="D315" s="102">
        <f>L_CViec!AA479</f>
        <v>1</v>
      </c>
      <c r="E315" s="102" t="str">
        <f>L_CViec!AC479</f>
        <v>1KS1</v>
      </c>
      <c r="F315" s="102" t="str">
        <f>L_CViec!AD479</f>
        <v>1-3</v>
      </c>
      <c r="G315" s="102">
        <f>L_CViec!AE479</f>
        <v>0.01</v>
      </c>
      <c r="H315" s="172">
        <f>L_CViec!AF479</f>
        <v>0.01</v>
      </c>
      <c r="I315" s="172">
        <f>L_CViec!AG479</f>
        <v>0.01</v>
      </c>
      <c r="J315" s="143">
        <f>L_CViec!AH479</f>
        <v>260091</v>
      </c>
      <c r="K315" s="160">
        <f>G315*$J315*L_CBac!$G$68</f>
        <v>2991.0464999999995</v>
      </c>
      <c r="L315" s="160">
        <f>H315*$J315*L_CBac!$G$68</f>
        <v>2991.0464999999995</v>
      </c>
      <c r="M315" s="160">
        <f>I315*$J315*L_CBac!$G$68</f>
        <v>2991.0464999999995</v>
      </c>
      <c r="N315" s="160">
        <f>$D315*G315*L_CBac!$J$68</f>
        <v>255.64500000000001</v>
      </c>
      <c r="O315" s="160">
        <f>$D315*H315*L_CBac!$J$68</f>
        <v>255.64500000000001</v>
      </c>
      <c r="P315" s="160">
        <f>$D315*I315*L_CBac!$J$68</f>
        <v>255.64500000000001</v>
      </c>
      <c r="Q315" s="160">
        <f>$D315*G315*L_CBac!$J$69</f>
        <v>280.76923076923077</v>
      </c>
      <c r="R315" s="160">
        <f>$D315*H315*L_CBac!$J$69</f>
        <v>280.76923076923077</v>
      </c>
      <c r="S315" s="144">
        <f>$D315*I315*L_CBac!$J$69</f>
        <v>280.76923076923077</v>
      </c>
    </row>
    <row r="316" spans="1:19" s="85" customFormat="1" ht="30.75" customHeight="1">
      <c r="A316" s="133" t="e">
        <f>L_CViec!#REF!</f>
        <v>#REF!</v>
      </c>
      <c r="B316" s="1783" t="e">
        <f>L_CViec!#REF!</f>
        <v>#REF!</v>
      </c>
      <c r="C316" s="1784" t="e">
        <f>L_CViec!#REF!</f>
        <v>#REF!</v>
      </c>
      <c r="D316" s="1785" t="e">
        <f>L_CViec!#REF!</f>
        <v>#REF!</v>
      </c>
      <c r="E316" s="134" t="e">
        <f>L_CViec!#REF!</f>
        <v>#REF!</v>
      </c>
      <c r="F316" s="134" t="e">
        <f>L_CViec!#REF!</f>
        <v>#REF!</v>
      </c>
      <c r="G316" s="137" t="e">
        <f>L_CViec!#REF!</f>
        <v>#REF!</v>
      </c>
      <c r="H316" s="129" t="e">
        <f>L_CViec!#REF!</f>
        <v>#REF!</v>
      </c>
      <c r="I316" s="129" t="e">
        <f>L_CViec!#REF!</f>
        <v>#REF!</v>
      </c>
      <c r="J316" s="129" t="e">
        <f>L_CViec!#REF!</f>
        <v>#REF!</v>
      </c>
      <c r="K316" s="153" t="e">
        <f>K317</f>
        <v>#REF!</v>
      </c>
      <c r="L316" s="153" t="e">
        <f t="shared" ref="L316:S316" si="51">L317</f>
        <v>#REF!</v>
      </c>
      <c r="M316" s="153" t="e">
        <f t="shared" si="51"/>
        <v>#REF!</v>
      </c>
      <c r="N316" s="153" t="e">
        <f t="shared" si="51"/>
        <v>#REF!</v>
      </c>
      <c r="O316" s="153" t="e">
        <f t="shared" si="51"/>
        <v>#REF!</v>
      </c>
      <c r="P316" s="153" t="e">
        <f t="shared" si="51"/>
        <v>#REF!</v>
      </c>
      <c r="Q316" s="153" t="e">
        <f t="shared" si="51"/>
        <v>#REF!</v>
      </c>
      <c r="R316" s="153" t="e">
        <f t="shared" si="51"/>
        <v>#REF!</v>
      </c>
      <c r="S316" s="274" t="e">
        <f t="shared" si="51"/>
        <v>#REF!</v>
      </c>
    </row>
    <row r="317" spans="1:19" s="85" customFormat="1" ht="22.5" customHeight="1">
      <c r="A317" s="126" t="e">
        <f>L_CViec!#REF!</f>
        <v>#REF!</v>
      </c>
      <c r="B317" s="100" t="e">
        <f>L_CViec!#REF!</f>
        <v>#REF!</v>
      </c>
      <c r="C317" s="102" t="e">
        <f>L_CViec!#REF!</f>
        <v>#REF!</v>
      </c>
      <c r="D317" s="102" t="e">
        <f>L_CViec!#REF!</f>
        <v>#REF!</v>
      </c>
      <c r="E317" s="102" t="e">
        <f>L_CViec!#REF!</f>
        <v>#REF!</v>
      </c>
      <c r="F317" s="102" t="e">
        <f>L_CViec!#REF!</f>
        <v>#REF!</v>
      </c>
      <c r="G317" s="102" t="e">
        <f>L_CViec!#REF!</f>
        <v>#REF!</v>
      </c>
      <c r="H317" s="172" t="e">
        <f>L_CViec!#REF!</f>
        <v>#REF!</v>
      </c>
      <c r="I317" s="172" t="e">
        <f>L_CViec!#REF!</f>
        <v>#REF!</v>
      </c>
      <c r="J317" s="143" t="e">
        <f>L_CViec!#REF!</f>
        <v>#REF!</v>
      </c>
      <c r="K317" s="160" t="e">
        <f>G317*$J317*L_CBac!$G$68</f>
        <v>#REF!</v>
      </c>
      <c r="L317" s="160" t="e">
        <f>H317*$J317*L_CBac!$G$68</f>
        <v>#REF!</v>
      </c>
      <c r="M317" s="160" t="e">
        <f>I317*$J317*L_CBac!$G$68</f>
        <v>#REF!</v>
      </c>
      <c r="N317" s="160" t="e">
        <f>$D317*G317*L_CBac!$J$68</f>
        <v>#REF!</v>
      </c>
      <c r="O317" s="160" t="e">
        <f>$D317*H317*L_CBac!$J$68</f>
        <v>#REF!</v>
      </c>
      <c r="P317" s="160" t="e">
        <f>$D317*I317*L_CBac!$J$68</f>
        <v>#REF!</v>
      </c>
      <c r="Q317" s="160" t="e">
        <f>$D317*G317*L_CBac!$J$69</f>
        <v>#REF!</v>
      </c>
      <c r="R317" s="160" t="e">
        <f>$D317*H317*L_CBac!$J$69</f>
        <v>#REF!</v>
      </c>
      <c r="S317" s="144" t="e">
        <f>$D317*I317*L_CBac!$J$69</f>
        <v>#REF!</v>
      </c>
    </row>
    <row r="318" spans="1:19" s="85" customFormat="1" ht="28.5" customHeight="1">
      <c r="A318" s="133" t="str">
        <f>L_CViec!A481</f>
        <v>VIII.3</v>
      </c>
      <c r="B318" s="1783" t="str">
        <f>L_CViec!B481</f>
        <v>CÁC NỘI DUNG THỰC HIỆN TẠI ĐỊA BÀN XÃ, PHƯỜNG,ĐẶC KHU</v>
      </c>
      <c r="C318" s="1784">
        <f>L_CViec!AB481</f>
        <v>0</v>
      </c>
      <c r="D318" s="1785">
        <f>L_CViec!AA481</f>
        <v>0</v>
      </c>
      <c r="E318" s="134">
        <f>L_CViec!AC481</f>
        <v>0</v>
      </c>
      <c r="F318" s="134">
        <f>L_CViec!AD481</f>
        <v>0</v>
      </c>
      <c r="G318" s="137">
        <f>L_CViec!AE481</f>
        <v>0</v>
      </c>
      <c r="H318" s="129">
        <f>L_CViec!AF481</f>
        <v>0</v>
      </c>
      <c r="I318" s="129">
        <f>L_CViec!AG481</f>
        <v>0</v>
      </c>
      <c r="J318" s="129">
        <f>L_CViec!AH481</f>
        <v>0</v>
      </c>
      <c r="K318" s="153">
        <f>K319</f>
        <v>34128.607499999998</v>
      </c>
      <c r="L318" s="153">
        <f t="shared" ref="L318:S318" si="52">L319</f>
        <v>34128.607499999998</v>
      </c>
      <c r="M318" s="153">
        <f t="shared" si="52"/>
        <v>51192.91124999999</v>
      </c>
      <c r="N318" s="153">
        <f t="shared" si="52"/>
        <v>2556.4500000000003</v>
      </c>
      <c r="O318" s="153">
        <f t="shared" si="52"/>
        <v>2556.4500000000003</v>
      </c>
      <c r="P318" s="153">
        <f t="shared" si="52"/>
        <v>3834.6749999999997</v>
      </c>
      <c r="Q318" s="153">
        <f t="shared" si="52"/>
        <v>2807.6923076923081</v>
      </c>
      <c r="R318" s="153">
        <f t="shared" si="52"/>
        <v>2807.6923076923081</v>
      </c>
      <c r="S318" s="274">
        <f t="shared" si="52"/>
        <v>4211.5384615384619</v>
      </c>
    </row>
    <row r="319" spans="1:19" s="85" customFormat="1" ht="43.5" customHeight="1">
      <c r="A319" s="126">
        <f>L_CViec!A484</f>
        <v>3</v>
      </c>
      <c r="B319" s="100" t="str">
        <f>L_CViec!B484</f>
        <v>Chuyển Văn phòng đăng ký đất đai, Chi nhánh Văn phòng đăng ký đất đai văn bản về xác nhận về tình trạng sạt lở tự nhiên hoặc văn bản về việc tặng cho quyền sử dụng đất</v>
      </c>
      <c r="C319" s="102" t="str">
        <f>L_CViec!AB484</f>
        <v>Hồ sơ</v>
      </c>
      <c r="D319" s="102">
        <f>L_CViec!AA484</f>
        <v>1</v>
      </c>
      <c r="E319" s="102" t="str">
        <f>L_CViec!AC484</f>
        <v>1KS2</v>
      </c>
      <c r="F319" s="102" t="str">
        <f>L_CViec!AD484</f>
        <v>1-3</v>
      </c>
      <c r="G319" s="102">
        <f>L_CViec!AE484</f>
        <v>0.1</v>
      </c>
      <c r="H319" s="172">
        <f>L_CViec!AF484</f>
        <v>0.1</v>
      </c>
      <c r="I319" s="172">
        <f>L_CViec!AG484</f>
        <v>0.15</v>
      </c>
      <c r="J319" s="143">
        <f>L_CViec!AH484</f>
        <v>296770.5</v>
      </c>
      <c r="K319" s="160">
        <f>G319*$J319*L_CBac!$G$68</f>
        <v>34128.607499999998</v>
      </c>
      <c r="L319" s="160">
        <f>H319*$J319*L_CBac!$G$68</f>
        <v>34128.607499999998</v>
      </c>
      <c r="M319" s="160">
        <f>I319*$J319*L_CBac!$G$68</f>
        <v>51192.91124999999</v>
      </c>
      <c r="N319" s="160">
        <f>$D319*G319*L_CBac!$J$68</f>
        <v>2556.4500000000003</v>
      </c>
      <c r="O319" s="160">
        <f>$D319*H319*L_CBac!$J$68</f>
        <v>2556.4500000000003</v>
      </c>
      <c r="P319" s="160">
        <f>$D319*I319*L_CBac!$J$68</f>
        <v>3834.6749999999997</v>
      </c>
      <c r="Q319" s="160">
        <f>$D319*G319*L_CBac!$J$69</f>
        <v>2807.6923076923081</v>
      </c>
      <c r="R319" s="160">
        <f>$D319*H319*L_CBac!$J$69</f>
        <v>2807.6923076923081</v>
      </c>
      <c r="S319" s="144">
        <f>$D319*I319*L_CBac!$J$69</f>
        <v>4211.5384615384619</v>
      </c>
    </row>
    <row r="320" spans="1:19" s="85" customFormat="1" ht="21" customHeight="1">
      <c r="A320" s="459" t="str">
        <f>L_CViec!A485</f>
        <v>VIII.4</v>
      </c>
      <c r="B320" s="148" t="str">
        <f>L_CViec!B485</f>
        <v>GHI CHÚ</v>
      </c>
      <c r="C320" s="148">
        <f>L_CViec!AB485</f>
        <v>0</v>
      </c>
      <c r="D320" s="148"/>
      <c r="E320" s="148">
        <f>L_CViec!AC485</f>
        <v>0</v>
      </c>
      <c r="F320" s="148">
        <f>L_CViec!AD485</f>
        <v>0</v>
      </c>
      <c r="G320" s="148">
        <f>L_CViec!AE485</f>
        <v>0</v>
      </c>
      <c r="H320" s="140">
        <f>L_CViec!AF485</f>
        <v>0</v>
      </c>
      <c r="I320" s="140">
        <f>L_CViec!AG485</f>
        <v>0</v>
      </c>
      <c r="J320" s="140">
        <f>L_CViec!AH485</f>
        <v>0</v>
      </c>
      <c r="K320" s="158"/>
      <c r="L320" s="158"/>
      <c r="M320" s="158"/>
      <c r="N320" s="158"/>
      <c r="O320" s="158"/>
      <c r="P320" s="158"/>
      <c r="Q320" s="158"/>
      <c r="R320" s="158"/>
      <c r="S320" s="149"/>
    </row>
    <row r="321" spans="1:19" s="85" customFormat="1" ht="28.9" customHeight="1">
      <c r="A321" s="122" t="str">
        <f>L_CViec!A486</f>
        <v>1</v>
      </c>
      <c r="B321" s="1780" t="str">
        <f>L_CViec!B486</f>
        <v>Cột “ĐM Đất” áp dụng cho trường hợp đăng ký, cấp GCN đối với đất; cột “ĐM TS” áp dụng cho trường hợp đăng ký, cấp GCN đối với tài sản; cột “ĐM Đất + TS” áp dụng đối với trường hợp đăng ký, cấp GCN đối với cả đất và tài sản gắn liền với đất</v>
      </c>
      <c r="C321" s="1781"/>
      <c r="D321" s="1781"/>
      <c r="E321" s="1781"/>
      <c r="F321" s="1781"/>
      <c r="G321" s="1781"/>
      <c r="H321" s="1781"/>
      <c r="I321" s="1781"/>
      <c r="J321" s="1781"/>
      <c r="K321" s="1781"/>
      <c r="L321" s="1781"/>
      <c r="M321" s="1782"/>
      <c r="N321" s="152"/>
      <c r="O321" s="152"/>
      <c r="P321" s="152"/>
      <c r="Q321" s="152"/>
      <c r="R321" s="152"/>
      <c r="S321" s="96"/>
    </row>
    <row r="322" spans="1:19" s="85" customFormat="1" ht="28.9" customHeight="1" thickBot="1">
      <c r="A322" s="127" t="str">
        <f>L_CViec!A487</f>
        <v>2</v>
      </c>
      <c r="B322" s="1777" t="str">
        <f>L_CViec!B487</f>
        <v>Các trường hợp đăng ký biến động đất đai mà thực hiện cấp mới GCN hoặc xác nhận thay đổi trên Giấy chứng nhận thì đều áp dụng định mức của Bảng này</v>
      </c>
      <c r="C322" s="1778"/>
      <c r="D322" s="1778"/>
      <c r="E322" s="1778"/>
      <c r="F322" s="1778"/>
      <c r="G322" s="1778"/>
      <c r="H322" s="1778"/>
      <c r="I322" s="1778"/>
      <c r="J322" s="1778"/>
      <c r="K322" s="1778"/>
      <c r="L322" s="1778"/>
      <c r="M322" s="1779"/>
      <c r="N322" s="171"/>
      <c r="O322" s="171"/>
      <c r="P322" s="171"/>
      <c r="Q322" s="171"/>
      <c r="R322" s="171"/>
      <c r="S322" s="98"/>
    </row>
    <row r="323" spans="1:19" s="85" customFormat="1">
      <c r="A323" s="168"/>
      <c r="B323" s="169"/>
      <c r="C323" s="168"/>
      <c r="D323" s="168"/>
      <c r="E323" s="168"/>
      <c r="F323" s="168"/>
      <c r="G323" s="168"/>
      <c r="H323" s="170"/>
      <c r="I323" s="170"/>
      <c r="J323" s="170"/>
      <c r="K323" s="170"/>
      <c r="L323" s="84"/>
    </row>
    <row r="324" spans="1:19" s="37" customFormat="1" ht="13.5" thickBot="1">
      <c r="A324" s="32" t="s">
        <v>349</v>
      </c>
      <c r="B324" s="33"/>
      <c r="C324" s="34"/>
      <c r="D324" s="34"/>
      <c r="E324" s="34"/>
      <c r="F324" s="34"/>
      <c r="G324" s="35"/>
      <c r="H324" s="36"/>
      <c r="I324" s="36"/>
      <c r="J324" s="36"/>
      <c r="K324" s="36"/>
    </row>
    <row r="325" spans="1:19" s="31" customFormat="1" ht="15" customHeight="1">
      <c r="A325" s="1788" t="s">
        <v>24</v>
      </c>
      <c r="B325" s="1790" t="s">
        <v>320</v>
      </c>
      <c r="C325" s="1792" t="s">
        <v>330</v>
      </c>
      <c r="D325" s="1793"/>
      <c r="E325" s="1793"/>
      <c r="F325" s="1794"/>
      <c r="G325" s="1798" t="s">
        <v>331</v>
      </c>
      <c r="H325" s="1799"/>
      <c r="I325" s="1800"/>
      <c r="J325" s="1804" t="s">
        <v>351</v>
      </c>
      <c r="K325" s="1465" t="s">
        <v>36</v>
      </c>
      <c r="L325" s="1466"/>
      <c r="M325" s="1806"/>
      <c r="N325" s="1465" t="s">
        <v>355</v>
      </c>
      <c r="O325" s="1466"/>
      <c r="P325" s="1806"/>
      <c r="Q325" s="1465" t="s">
        <v>356</v>
      </c>
      <c r="R325" s="1466"/>
      <c r="S325" s="1467"/>
    </row>
    <row r="326" spans="1:19" s="31" customFormat="1" ht="25.5">
      <c r="A326" s="1789"/>
      <c r="B326" s="1791"/>
      <c r="C326" s="1795"/>
      <c r="D326" s="1796"/>
      <c r="E326" s="1796"/>
      <c r="F326" s="1797"/>
      <c r="G326" s="1801"/>
      <c r="H326" s="1802"/>
      <c r="I326" s="1803"/>
      <c r="J326" s="1805"/>
      <c r="K326" s="161" t="s">
        <v>359</v>
      </c>
      <c r="L326" s="161" t="s">
        <v>358</v>
      </c>
      <c r="M326" s="161" t="s">
        <v>357</v>
      </c>
      <c r="N326" s="147" t="s">
        <v>359</v>
      </c>
      <c r="O326" s="156" t="s">
        <v>358</v>
      </c>
      <c r="P326" s="162" t="s">
        <v>357</v>
      </c>
      <c r="Q326" s="164" t="s">
        <v>359</v>
      </c>
      <c r="R326" s="157" t="s">
        <v>358</v>
      </c>
      <c r="S326" s="163" t="s">
        <v>357</v>
      </c>
    </row>
    <row r="327" spans="1:19" s="85" customFormat="1" ht="63.6" customHeight="1">
      <c r="A327" s="122" t="e">
        <f>L_CViec!#REF!</f>
        <v>#REF!</v>
      </c>
      <c r="B327" s="80" t="e">
        <f>L_CViec!#REF!</f>
        <v>#REF!</v>
      </c>
      <c r="C327" s="1764" t="e">
        <f>L_CViec!#REF!</f>
        <v>#REF!</v>
      </c>
      <c r="D327" s="1765"/>
      <c r="E327" s="1765"/>
      <c r="F327" s="1766"/>
      <c r="G327" s="78" t="e">
        <f>L_CViec!#REF!</f>
        <v>#REF!</v>
      </c>
      <c r="H327" s="95" t="e">
        <f>L_CViec!#REF!</f>
        <v>#REF!</v>
      </c>
      <c r="I327" s="95"/>
      <c r="J327" s="95"/>
      <c r="K327" s="152" t="e">
        <f>SUM(K$291,K$294,K$296,K$306,K$234,K$308,K$310,K$317)+SUM(K$295,K$302,K$309)*$G327</f>
        <v>#REF!</v>
      </c>
      <c r="L327" s="152" t="e">
        <f t="shared" ref="L327:S328" si="53">SUM(L$291,L$294,L$296,L$306,L$234,L$308,L$310,L$317)+SUM(L$295,L$302,L$309)*$G327</f>
        <v>#REF!</v>
      </c>
      <c r="M327" s="152" t="e">
        <f t="shared" si="53"/>
        <v>#REF!</v>
      </c>
      <c r="N327" s="152" t="e">
        <f t="shared" si="53"/>
        <v>#REF!</v>
      </c>
      <c r="O327" s="152" t="e">
        <f t="shared" si="53"/>
        <v>#REF!</v>
      </c>
      <c r="P327" s="152" t="e">
        <f t="shared" si="53"/>
        <v>#REF!</v>
      </c>
      <c r="Q327" s="152" t="e">
        <f t="shared" si="53"/>
        <v>#REF!</v>
      </c>
      <c r="R327" s="152" t="e">
        <f t="shared" si="53"/>
        <v>#REF!</v>
      </c>
      <c r="S327" s="96" t="e">
        <f t="shared" si="53"/>
        <v>#REF!</v>
      </c>
    </row>
    <row r="328" spans="1:19" s="85" customFormat="1" ht="63.6" customHeight="1">
      <c r="A328" s="122" t="e">
        <f>L_CViec!#REF!</f>
        <v>#REF!</v>
      </c>
      <c r="B328" s="80" t="e">
        <f>L_CViec!#REF!</f>
        <v>#REF!</v>
      </c>
      <c r="C328" s="1764" t="e">
        <f>L_CViec!#REF!</f>
        <v>#REF!</v>
      </c>
      <c r="D328" s="1765"/>
      <c r="E328" s="1765"/>
      <c r="F328" s="1766"/>
      <c r="G328" s="78" t="e">
        <f>L_CViec!#REF!</f>
        <v>#REF!</v>
      </c>
      <c r="H328" s="95" t="e">
        <f>L_CViec!#REF!</f>
        <v>#REF!</v>
      </c>
      <c r="I328" s="95"/>
      <c r="J328" s="95"/>
      <c r="K328" s="152" t="e">
        <f>SUM(K$291,K$294,K$296,K$306,K$234,K$308,K$310,K$317)+SUM(K$295,K$302,K$309)*$G328</f>
        <v>#REF!</v>
      </c>
      <c r="L328" s="152" t="e">
        <f t="shared" si="53"/>
        <v>#REF!</v>
      </c>
      <c r="M328" s="152" t="e">
        <f t="shared" si="53"/>
        <v>#REF!</v>
      </c>
      <c r="N328" s="152" t="e">
        <f t="shared" si="53"/>
        <v>#REF!</v>
      </c>
      <c r="O328" s="152" t="e">
        <f t="shared" si="53"/>
        <v>#REF!</v>
      </c>
      <c r="P328" s="152" t="e">
        <f t="shared" si="53"/>
        <v>#REF!</v>
      </c>
      <c r="Q328" s="152" t="e">
        <f t="shared" si="53"/>
        <v>#REF!</v>
      </c>
      <c r="R328" s="152" t="e">
        <f t="shared" si="53"/>
        <v>#REF!</v>
      </c>
      <c r="S328" s="96" t="e">
        <f t="shared" si="53"/>
        <v>#REF!</v>
      </c>
    </row>
    <row r="329" spans="1:19" s="85" customFormat="1" ht="63.6" customHeight="1">
      <c r="A329" s="122" t="e">
        <f>L_CViec!#REF!</f>
        <v>#REF!</v>
      </c>
      <c r="B329" s="80" t="e">
        <f>L_CViec!#REF!</f>
        <v>#REF!</v>
      </c>
      <c r="C329" s="1764" t="e">
        <f>L_CViec!#REF!</f>
        <v>#REF!</v>
      </c>
      <c r="D329" s="1765"/>
      <c r="E329" s="1765"/>
      <c r="F329" s="1766"/>
      <c r="G329" s="78" t="e">
        <f>L_CViec!#REF!</f>
        <v>#REF!</v>
      </c>
      <c r="H329" s="95" t="e">
        <f>L_CViec!#REF!</f>
        <v>#REF!</v>
      </c>
      <c r="I329" s="95"/>
      <c r="J329" s="95"/>
      <c r="K329" s="152" t="e">
        <f>SUM(K$291,K$294,K$296,K$298,K$306,K$234,K$308,K$310,K$317)+SUM(K$295,K$302,K$309)*$G329</f>
        <v>#REF!</v>
      </c>
      <c r="L329" s="152" t="e">
        <f t="shared" ref="L329:S329" si="54">SUM(L$291,L$294,L$296,L$298,L$306,L$234,L$308,L$310,L$317)+SUM(L$295,L$302,L$309)*$G329</f>
        <v>#REF!</v>
      </c>
      <c r="M329" s="152" t="e">
        <f t="shared" si="54"/>
        <v>#REF!</v>
      </c>
      <c r="N329" s="152" t="e">
        <f t="shared" si="54"/>
        <v>#REF!</v>
      </c>
      <c r="O329" s="152" t="e">
        <f t="shared" si="54"/>
        <v>#REF!</v>
      </c>
      <c r="P329" s="152" t="e">
        <f t="shared" si="54"/>
        <v>#REF!</v>
      </c>
      <c r="Q329" s="152" t="e">
        <f t="shared" si="54"/>
        <v>#REF!</v>
      </c>
      <c r="R329" s="152" t="e">
        <f t="shared" si="54"/>
        <v>#REF!</v>
      </c>
      <c r="S329" s="96" t="e">
        <f t="shared" si="54"/>
        <v>#REF!</v>
      </c>
    </row>
    <row r="330" spans="1:19" s="85" customFormat="1" ht="63.6" customHeight="1">
      <c r="A330" s="122" t="e">
        <f>L_CViec!#REF!</f>
        <v>#REF!</v>
      </c>
      <c r="B330" s="80" t="e">
        <f>L_CViec!#REF!</f>
        <v>#REF!</v>
      </c>
      <c r="C330" s="1764" t="e">
        <f>L_CViec!#REF!</f>
        <v>#REF!</v>
      </c>
      <c r="D330" s="1765"/>
      <c r="E330" s="1765"/>
      <c r="F330" s="1766"/>
      <c r="G330" s="78" t="e">
        <f>L_CViec!#REF!</f>
        <v>#REF!</v>
      </c>
      <c r="H330" s="95" t="e">
        <f>L_CViec!#REF!</f>
        <v>#REF!</v>
      </c>
      <c r="I330" s="95"/>
      <c r="J330" s="95"/>
      <c r="K330" s="152" t="e">
        <f>SUM(K$308,K$317)+SUM(K$302)*$G330</f>
        <v>#REF!</v>
      </c>
      <c r="L330" s="152" t="e">
        <f t="shared" ref="L330:S331" si="55">SUM(L$308,L$317)+SUM(L$302)*$G330</f>
        <v>#REF!</v>
      </c>
      <c r="M330" s="152" t="e">
        <f t="shared" si="55"/>
        <v>#REF!</v>
      </c>
      <c r="N330" s="152" t="e">
        <f t="shared" si="55"/>
        <v>#REF!</v>
      </c>
      <c r="O330" s="152" t="e">
        <f t="shared" si="55"/>
        <v>#REF!</v>
      </c>
      <c r="P330" s="152" t="e">
        <f t="shared" si="55"/>
        <v>#REF!</v>
      </c>
      <c r="Q330" s="152" t="e">
        <f t="shared" si="55"/>
        <v>#REF!</v>
      </c>
      <c r="R330" s="152" t="e">
        <f t="shared" si="55"/>
        <v>#REF!</v>
      </c>
      <c r="S330" s="96" t="e">
        <f t="shared" si="55"/>
        <v>#REF!</v>
      </c>
    </row>
    <row r="331" spans="1:19" s="85" customFormat="1" ht="63.6" customHeight="1">
      <c r="A331" s="122" t="e">
        <f>L_CViec!#REF!</f>
        <v>#REF!</v>
      </c>
      <c r="B331" s="80" t="e">
        <f>L_CViec!#REF!</f>
        <v>#REF!</v>
      </c>
      <c r="C331" s="1764" t="e">
        <f>L_CViec!#REF!</f>
        <v>#REF!</v>
      </c>
      <c r="D331" s="1765"/>
      <c r="E331" s="1765"/>
      <c r="F331" s="1766"/>
      <c r="G331" s="78" t="e">
        <f>L_CViec!#REF!</f>
        <v>#REF!</v>
      </c>
      <c r="H331" s="95" t="e">
        <f>L_CViec!#REF!</f>
        <v>#REF!</v>
      </c>
      <c r="I331" s="95"/>
      <c r="J331" s="95"/>
      <c r="K331" s="152" t="e">
        <f>SUM(K$308,K$317)+SUM(K$302)*$G331</f>
        <v>#REF!</v>
      </c>
      <c r="L331" s="152" t="e">
        <f t="shared" si="55"/>
        <v>#REF!</v>
      </c>
      <c r="M331" s="152" t="e">
        <f t="shared" si="55"/>
        <v>#REF!</v>
      </c>
      <c r="N331" s="152" t="e">
        <f t="shared" si="55"/>
        <v>#REF!</v>
      </c>
      <c r="O331" s="152" t="e">
        <f t="shared" si="55"/>
        <v>#REF!</v>
      </c>
      <c r="P331" s="152" t="e">
        <f t="shared" si="55"/>
        <v>#REF!</v>
      </c>
      <c r="Q331" s="152" t="e">
        <f t="shared" si="55"/>
        <v>#REF!</v>
      </c>
      <c r="R331" s="152" t="e">
        <f t="shared" si="55"/>
        <v>#REF!</v>
      </c>
      <c r="S331" s="96" t="e">
        <f t="shared" si="55"/>
        <v>#REF!</v>
      </c>
    </row>
    <row r="332" spans="1:19" s="85" customFormat="1" ht="63.6" customHeight="1">
      <c r="A332" s="122" t="e">
        <f>L_CViec!#REF!</f>
        <v>#REF!</v>
      </c>
      <c r="B332" s="80" t="e">
        <f>L_CViec!#REF!</f>
        <v>#REF!</v>
      </c>
      <c r="C332" s="1764" t="e">
        <f>L_CViec!#REF!</f>
        <v>#REF!</v>
      </c>
      <c r="D332" s="1765"/>
      <c r="E332" s="1765"/>
      <c r="F332" s="1766"/>
      <c r="G332" s="78" t="e">
        <f>L_CViec!#REF!</f>
        <v>#REF!</v>
      </c>
      <c r="H332" s="95" t="e">
        <f>L_CViec!#REF!</f>
        <v>#REF!</v>
      </c>
      <c r="I332" s="95"/>
      <c r="J332" s="95"/>
      <c r="K332" s="152" t="e">
        <f>SUM(K$291,K$294,K$296,K$306,K$234,K$308,K$310,K$317)+SUM(K$295,K$302,K$309)*$G332</f>
        <v>#REF!</v>
      </c>
      <c r="L332" s="152" t="e">
        <f t="shared" ref="L332:S333" si="56">SUM(L$291,L$294,L$296,L$306,L$234,L$308,L$310,L$317)+SUM(L$295,L$302,L$309)*$G332</f>
        <v>#REF!</v>
      </c>
      <c r="M332" s="152" t="e">
        <f t="shared" si="56"/>
        <v>#REF!</v>
      </c>
      <c r="N332" s="152" t="e">
        <f t="shared" si="56"/>
        <v>#REF!</v>
      </c>
      <c r="O332" s="152" t="e">
        <f t="shared" si="56"/>
        <v>#REF!</v>
      </c>
      <c r="P332" s="152" t="e">
        <f t="shared" si="56"/>
        <v>#REF!</v>
      </c>
      <c r="Q332" s="152" t="e">
        <f t="shared" si="56"/>
        <v>#REF!</v>
      </c>
      <c r="R332" s="152" t="e">
        <f t="shared" si="56"/>
        <v>#REF!</v>
      </c>
      <c r="S332" s="96" t="e">
        <f t="shared" si="56"/>
        <v>#REF!</v>
      </c>
    </row>
    <row r="333" spans="1:19" s="85" customFormat="1" ht="63.6" customHeight="1">
      <c r="A333" s="122" t="e">
        <f>L_CViec!#REF!</f>
        <v>#REF!</v>
      </c>
      <c r="B333" s="80" t="e">
        <f>L_CViec!#REF!</f>
        <v>#REF!</v>
      </c>
      <c r="C333" s="1764" t="e">
        <f>L_CViec!#REF!</f>
        <v>#REF!</v>
      </c>
      <c r="D333" s="1765"/>
      <c r="E333" s="1765"/>
      <c r="F333" s="1766"/>
      <c r="G333" s="78" t="e">
        <f>L_CViec!#REF!</f>
        <v>#REF!</v>
      </c>
      <c r="H333" s="95" t="e">
        <f>L_CViec!#REF!</f>
        <v>#REF!</v>
      </c>
      <c r="I333" s="95"/>
      <c r="J333" s="95"/>
      <c r="K333" s="152" t="e">
        <f>SUM(K$291,K$294,K$296,K$306,K$234,K$308,K$310,K$317)+SUM(K$295,K$302,K$309)*$G333</f>
        <v>#REF!</v>
      </c>
      <c r="L333" s="152" t="e">
        <f t="shared" si="56"/>
        <v>#REF!</v>
      </c>
      <c r="M333" s="152" t="e">
        <f t="shared" si="56"/>
        <v>#REF!</v>
      </c>
      <c r="N333" s="152" t="e">
        <f t="shared" si="56"/>
        <v>#REF!</v>
      </c>
      <c r="O333" s="152" t="e">
        <f t="shared" si="56"/>
        <v>#REF!</v>
      </c>
      <c r="P333" s="152" t="e">
        <f t="shared" si="56"/>
        <v>#REF!</v>
      </c>
      <c r="Q333" s="152" t="e">
        <f t="shared" si="56"/>
        <v>#REF!</v>
      </c>
      <c r="R333" s="152" t="e">
        <f t="shared" si="56"/>
        <v>#REF!</v>
      </c>
      <c r="S333" s="96" t="e">
        <f t="shared" si="56"/>
        <v>#REF!</v>
      </c>
    </row>
    <row r="334" spans="1:19" s="85" customFormat="1" ht="63.6" customHeight="1">
      <c r="A334" s="122" t="e">
        <f>L_CViec!#REF!</f>
        <v>#REF!</v>
      </c>
      <c r="B334" s="80" t="e">
        <f>L_CViec!#REF!</f>
        <v>#REF!</v>
      </c>
      <c r="C334" s="1764" t="e">
        <f>L_CViec!#REF!</f>
        <v>#REF!</v>
      </c>
      <c r="D334" s="1765"/>
      <c r="E334" s="1765"/>
      <c r="F334" s="1766"/>
      <c r="G334" s="78" t="e">
        <f>L_CViec!#REF!</f>
        <v>#REF!</v>
      </c>
      <c r="H334" s="95" t="e">
        <f>L_CViec!#REF!</f>
        <v>#REF!</v>
      </c>
      <c r="I334" s="95"/>
      <c r="J334" s="95"/>
      <c r="K334" s="152" t="e">
        <f t="shared" ref="K334:S342" si="57">SUM(K$291,K$294,K$296,K$301,K$306,K$234,K$308,K$310,K$317)+SUM(K$295,K$302,K$309)*$G334</f>
        <v>#REF!</v>
      </c>
      <c r="L334" s="152" t="e">
        <f t="shared" si="57"/>
        <v>#REF!</v>
      </c>
      <c r="M334" s="152" t="e">
        <f t="shared" si="57"/>
        <v>#REF!</v>
      </c>
      <c r="N334" s="152" t="e">
        <f t="shared" si="57"/>
        <v>#REF!</v>
      </c>
      <c r="O334" s="152" t="e">
        <f t="shared" si="57"/>
        <v>#REF!</v>
      </c>
      <c r="P334" s="152" t="e">
        <f t="shared" si="57"/>
        <v>#REF!</v>
      </c>
      <c r="Q334" s="152" t="e">
        <f t="shared" si="57"/>
        <v>#REF!</v>
      </c>
      <c r="R334" s="152" t="e">
        <f t="shared" si="57"/>
        <v>#REF!</v>
      </c>
      <c r="S334" s="96" t="e">
        <f t="shared" si="57"/>
        <v>#REF!</v>
      </c>
    </row>
    <row r="335" spans="1:19" s="85" customFormat="1" ht="63.6" customHeight="1">
      <c r="A335" s="122" t="e">
        <f>L_CViec!#REF!</f>
        <v>#REF!</v>
      </c>
      <c r="B335" s="80" t="e">
        <f>L_CViec!#REF!</f>
        <v>#REF!</v>
      </c>
      <c r="C335" s="1764" t="e">
        <f>L_CViec!#REF!</f>
        <v>#REF!</v>
      </c>
      <c r="D335" s="1765"/>
      <c r="E335" s="1765"/>
      <c r="F335" s="1766"/>
      <c r="G335" s="78" t="e">
        <f>L_CViec!#REF!</f>
        <v>#REF!</v>
      </c>
      <c r="H335" s="95" t="e">
        <f>L_CViec!#REF!</f>
        <v>#REF!</v>
      </c>
      <c r="I335" s="95"/>
      <c r="J335" s="95"/>
      <c r="K335" s="152" t="e">
        <f t="shared" si="57"/>
        <v>#REF!</v>
      </c>
      <c r="L335" s="152" t="e">
        <f t="shared" si="57"/>
        <v>#REF!</v>
      </c>
      <c r="M335" s="152" t="e">
        <f t="shared" si="57"/>
        <v>#REF!</v>
      </c>
      <c r="N335" s="152" t="e">
        <f t="shared" si="57"/>
        <v>#REF!</v>
      </c>
      <c r="O335" s="152" t="e">
        <f t="shared" si="57"/>
        <v>#REF!</v>
      </c>
      <c r="P335" s="152" t="e">
        <f t="shared" si="57"/>
        <v>#REF!</v>
      </c>
      <c r="Q335" s="152" t="e">
        <f t="shared" si="57"/>
        <v>#REF!</v>
      </c>
      <c r="R335" s="152" t="e">
        <f t="shared" si="57"/>
        <v>#REF!</v>
      </c>
      <c r="S335" s="96" t="e">
        <f t="shared" si="57"/>
        <v>#REF!</v>
      </c>
    </row>
    <row r="336" spans="1:19" s="85" customFormat="1" ht="63.6" customHeight="1">
      <c r="A336" s="122" t="e">
        <f>L_CViec!#REF!</f>
        <v>#REF!</v>
      </c>
      <c r="B336" s="80" t="e">
        <f>L_CViec!#REF!</f>
        <v>#REF!</v>
      </c>
      <c r="C336" s="1764" t="e">
        <f>L_CViec!#REF!</f>
        <v>#REF!</v>
      </c>
      <c r="D336" s="1765"/>
      <c r="E336" s="1765"/>
      <c r="F336" s="1766"/>
      <c r="G336" s="78" t="e">
        <f>L_CViec!#REF!</f>
        <v>#REF!</v>
      </c>
      <c r="H336" s="95" t="e">
        <f>L_CViec!#REF!</f>
        <v>#REF!</v>
      </c>
      <c r="I336" s="95"/>
      <c r="J336" s="95"/>
      <c r="K336" s="152" t="e">
        <f t="shared" si="57"/>
        <v>#REF!</v>
      </c>
      <c r="L336" s="152" t="e">
        <f t="shared" si="57"/>
        <v>#REF!</v>
      </c>
      <c r="M336" s="152" t="e">
        <f t="shared" si="57"/>
        <v>#REF!</v>
      </c>
      <c r="N336" s="152" t="e">
        <f t="shared" si="57"/>
        <v>#REF!</v>
      </c>
      <c r="O336" s="152" t="e">
        <f t="shared" si="57"/>
        <v>#REF!</v>
      </c>
      <c r="P336" s="152" t="e">
        <f t="shared" si="57"/>
        <v>#REF!</v>
      </c>
      <c r="Q336" s="152" t="e">
        <f t="shared" si="57"/>
        <v>#REF!</v>
      </c>
      <c r="R336" s="152" t="e">
        <f t="shared" si="57"/>
        <v>#REF!</v>
      </c>
      <c r="S336" s="96" t="e">
        <f t="shared" si="57"/>
        <v>#REF!</v>
      </c>
    </row>
    <row r="337" spans="1:19" s="85" customFormat="1" ht="63.6" customHeight="1">
      <c r="A337" s="122" t="e">
        <f>L_CViec!#REF!</f>
        <v>#REF!</v>
      </c>
      <c r="B337" s="80" t="e">
        <f>L_CViec!#REF!</f>
        <v>#REF!</v>
      </c>
      <c r="C337" s="1764" t="e">
        <f>L_CViec!#REF!</f>
        <v>#REF!</v>
      </c>
      <c r="D337" s="1765"/>
      <c r="E337" s="1765"/>
      <c r="F337" s="1766"/>
      <c r="G337" s="78" t="e">
        <f>L_CViec!#REF!</f>
        <v>#REF!</v>
      </c>
      <c r="H337" s="95" t="e">
        <f>L_CViec!#REF!</f>
        <v>#REF!</v>
      </c>
      <c r="I337" s="95"/>
      <c r="J337" s="95"/>
      <c r="K337" s="152" t="e">
        <f t="shared" si="57"/>
        <v>#REF!</v>
      </c>
      <c r="L337" s="152" t="e">
        <f t="shared" si="57"/>
        <v>#REF!</v>
      </c>
      <c r="M337" s="152" t="e">
        <f t="shared" si="57"/>
        <v>#REF!</v>
      </c>
      <c r="N337" s="152" t="e">
        <f t="shared" si="57"/>
        <v>#REF!</v>
      </c>
      <c r="O337" s="152" t="e">
        <f t="shared" si="57"/>
        <v>#REF!</v>
      </c>
      <c r="P337" s="152" t="e">
        <f t="shared" si="57"/>
        <v>#REF!</v>
      </c>
      <c r="Q337" s="152" t="e">
        <f t="shared" si="57"/>
        <v>#REF!</v>
      </c>
      <c r="R337" s="152" t="e">
        <f t="shared" si="57"/>
        <v>#REF!</v>
      </c>
      <c r="S337" s="96" t="e">
        <f t="shared" si="57"/>
        <v>#REF!</v>
      </c>
    </row>
    <row r="338" spans="1:19" s="85" customFormat="1" ht="63.6" customHeight="1">
      <c r="A338" s="122" t="e">
        <f>L_CViec!#REF!</f>
        <v>#REF!</v>
      </c>
      <c r="B338" s="80" t="e">
        <f>L_CViec!#REF!</f>
        <v>#REF!</v>
      </c>
      <c r="C338" s="1764" t="e">
        <f>L_CViec!#REF!</f>
        <v>#REF!</v>
      </c>
      <c r="D338" s="1765"/>
      <c r="E338" s="1765"/>
      <c r="F338" s="1766"/>
      <c r="G338" s="78" t="e">
        <f>L_CViec!#REF!</f>
        <v>#REF!</v>
      </c>
      <c r="H338" s="95" t="e">
        <f>L_CViec!#REF!</f>
        <v>#REF!</v>
      </c>
      <c r="I338" s="95"/>
      <c r="J338" s="95"/>
      <c r="K338" s="152" t="e">
        <f t="shared" si="57"/>
        <v>#REF!</v>
      </c>
      <c r="L338" s="152" t="e">
        <f t="shared" si="57"/>
        <v>#REF!</v>
      </c>
      <c r="M338" s="152" t="e">
        <f t="shared" si="57"/>
        <v>#REF!</v>
      </c>
      <c r="N338" s="152" t="e">
        <f t="shared" si="57"/>
        <v>#REF!</v>
      </c>
      <c r="O338" s="152" t="e">
        <f t="shared" si="57"/>
        <v>#REF!</v>
      </c>
      <c r="P338" s="152" t="e">
        <f t="shared" si="57"/>
        <v>#REF!</v>
      </c>
      <c r="Q338" s="152" t="e">
        <f t="shared" si="57"/>
        <v>#REF!</v>
      </c>
      <c r="R338" s="152" t="e">
        <f t="shared" si="57"/>
        <v>#REF!</v>
      </c>
      <c r="S338" s="96" t="e">
        <f t="shared" si="57"/>
        <v>#REF!</v>
      </c>
    </row>
    <row r="339" spans="1:19" s="85" customFormat="1" ht="63.6" customHeight="1">
      <c r="A339" s="122" t="e">
        <f>L_CViec!#REF!</f>
        <v>#REF!</v>
      </c>
      <c r="B339" s="80" t="e">
        <f>L_CViec!#REF!</f>
        <v>#REF!</v>
      </c>
      <c r="C339" s="1764" t="e">
        <f>L_CViec!#REF!</f>
        <v>#REF!</v>
      </c>
      <c r="D339" s="1765"/>
      <c r="E339" s="1765"/>
      <c r="F339" s="1766"/>
      <c r="G339" s="78" t="e">
        <f>L_CViec!#REF!</f>
        <v>#REF!</v>
      </c>
      <c r="H339" s="95" t="e">
        <f>L_CViec!#REF!</f>
        <v>#REF!</v>
      </c>
      <c r="I339" s="95"/>
      <c r="J339" s="95"/>
      <c r="K339" s="152" t="e">
        <f t="shared" si="57"/>
        <v>#REF!</v>
      </c>
      <c r="L339" s="152" t="e">
        <f t="shared" si="57"/>
        <v>#REF!</v>
      </c>
      <c r="M339" s="152" t="e">
        <f t="shared" si="57"/>
        <v>#REF!</v>
      </c>
      <c r="N339" s="152" t="e">
        <f t="shared" si="57"/>
        <v>#REF!</v>
      </c>
      <c r="O339" s="152" t="e">
        <f t="shared" si="57"/>
        <v>#REF!</v>
      </c>
      <c r="P339" s="152" t="e">
        <f t="shared" si="57"/>
        <v>#REF!</v>
      </c>
      <c r="Q339" s="152" t="e">
        <f t="shared" si="57"/>
        <v>#REF!</v>
      </c>
      <c r="R339" s="152" t="e">
        <f t="shared" si="57"/>
        <v>#REF!</v>
      </c>
      <c r="S339" s="96" t="e">
        <f t="shared" si="57"/>
        <v>#REF!</v>
      </c>
    </row>
    <row r="340" spans="1:19" s="85" customFormat="1" ht="63.6" customHeight="1">
      <c r="A340" s="122" t="e">
        <f>L_CViec!#REF!</f>
        <v>#REF!</v>
      </c>
      <c r="B340" s="80" t="e">
        <f>L_CViec!#REF!</f>
        <v>#REF!</v>
      </c>
      <c r="C340" s="1764" t="e">
        <f>L_CViec!#REF!</f>
        <v>#REF!</v>
      </c>
      <c r="D340" s="1765"/>
      <c r="E340" s="1765"/>
      <c r="F340" s="1766"/>
      <c r="G340" s="78" t="e">
        <f>L_CViec!#REF!</f>
        <v>#REF!</v>
      </c>
      <c r="H340" s="95" t="e">
        <f>L_CViec!#REF!</f>
        <v>#REF!</v>
      </c>
      <c r="I340" s="95"/>
      <c r="J340" s="95"/>
      <c r="K340" s="152" t="e">
        <f t="shared" si="57"/>
        <v>#REF!</v>
      </c>
      <c r="L340" s="152" t="e">
        <f t="shared" si="57"/>
        <v>#REF!</v>
      </c>
      <c r="M340" s="152" t="e">
        <f t="shared" si="57"/>
        <v>#REF!</v>
      </c>
      <c r="N340" s="152" t="e">
        <f t="shared" si="57"/>
        <v>#REF!</v>
      </c>
      <c r="O340" s="152" t="e">
        <f t="shared" si="57"/>
        <v>#REF!</v>
      </c>
      <c r="P340" s="152" t="e">
        <f t="shared" si="57"/>
        <v>#REF!</v>
      </c>
      <c r="Q340" s="152" t="e">
        <f t="shared" si="57"/>
        <v>#REF!</v>
      </c>
      <c r="R340" s="152" t="e">
        <f t="shared" si="57"/>
        <v>#REF!</v>
      </c>
      <c r="S340" s="96" t="e">
        <f t="shared" si="57"/>
        <v>#REF!</v>
      </c>
    </row>
    <row r="341" spans="1:19" s="85" customFormat="1" ht="63.6" customHeight="1">
      <c r="A341" s="122" t="e">
        <f>L_CViec!#REF!</f>
        <v>#REF!</v>
      </c>
      <c r="B341" s="80" t="e">
        <f>L_CViec!#REF!</f>
        <v>#REF!</v>
      </c>
      <c r="C341" s="1764" t="e">
        <f>L_CViec!#REF!</f>
        <v>#REF!</v>
      </c>
      <c r="D341" s="1765"/>
      <c r="E341" s="1765"/>
      <c r="F341" s="1766"/>
      <c r="G341" s="78" t="e">
        <f>L_CViec!#REF!</f>
        <v>#REF!</v>
      </c>
      <c r="H341" s="95" t="e">
        <f>L_CViec!#REF!</f>
        <v>#REF!</v>
      </c>
      <c r="I341" s="95"/>
      <c r="J341" s="95"/>
      <c r="K341" s="152" t="e">
        <f t="shared" si="57"/>
        <v>#REF!</v>
      </c>
      <c r="L341" s="152" t="e">
        <f t="shared" si="57"/>
        <v>#REF!</v>
      </c>
      <c r="M341" s="152" t="e">
        <f t="shared" si="57"/>
        <v>#REF!</v>
      </c>
      <c r="N341" s="152" t="e">
        <f t="shared" si="57"/>
        <v>#REF!</v>
      </c>
      <c r="O341" s="152" t="e">
        <f t="shared" si="57"/>
        <v>#REF!</v>
      </c>
      <c r="P341" s="152" t="e">
        <f t="shared" si="57"/>
        <v>#REF!</v>
      </c>
      <c r="Q341" s="152" t="e">
        <f t="shared" si="57"/>
        <v>#REF!</v>
      </c>
      <c r="R341" s="152" t="e">
        <f t="shared" si="57"/>
        <v>#REF!</v>
      </c>
      <c r="S341" s="96" t="e">
        <f t="shared" si="57"/>
        <v>#REF!</v>
      </c>
    </row>
    <row r="342" spans="1:19" s="85" customFormat="1" ht="63.6" customHeight="1">
      <c r="A342" s="122" t="e">
        <f>L_CViec!#REF!</f>
        <v>#REF!</v>
      </c>
      <c r="B342" s="80" t="e">
        <f>L_CViec!#REF!</f>
        <v>#REF!</v>
      </c>
      <c r="C342" s="1764" t="e">
        <f>L_CViec!#REF!</f>
        <v>#REF!</v>
      </c>
      <c r="D342" s="1765"/>
      <c r="E342" s="1765"/>
      <c r="F342" s="1766"/>
      <c r="G342" s="78" t="e">
        <f>L_CViec!#REF!</f>
        <v>#REF!</v>
      </c>
      <c r="H342" s="95" t="e">
        <f>L_CViec!#REF!</f>
        <v>#REF!</v>
      </c>
      <c r="I342" s="95"/>
      <c r="J342" s="95"/>
      <c r="K342" s="152" t="e">
        <f t="shared" si="57"/>
        <v>#REF!</v>
      </c>
      <c r="L342" s="152" t="e">
        <f t="shared" si="57"/>
        <v>#REF!</v>
      </c>
      <c r="M342" s="152" t="e">
        <f t="shared" si="57"/>
        <v>#REF!</v>
      </c>
      <c r="N342" s="152" t="e">
        <f t="shared" si="57"/>
        <v>#REF!</v>
      </c>
      <c r="O342" s="152" t="e">
        <f t="shared" si="57"/>
        <v>#REF!</v>
      </c>
      <c r="P342" s="152" t="e">
        <f t="shared" si="57"/>
        <v>#REF!</v>
      </c>
      <c r="Q342" s="152" t="e">
        <f t="shared" si="57"/>
        <v>#REF!</v>
      </c>
      <c r="R342" s="152" t="e">
        <f t="shared" si="57"/>
        <v>#REF!</v>
      </c>
      <c r="S342" s="96" t="e">
        <f t="shared" si="57"/>
        <v>#REF!</v>
      </c>
    </row>
    <row r="343" spans="1:19" s="85" customFormat="1" ht="63.6" customHeight="1">
      <c r="A343" s="122" t="e">
        <f>L_CViec!#REF!</f>
        <v>#REF!</v>
      </c>
      <c r="B343" s="80" t="e">
        <f>L_CViec!#REF!</f>
        <v>#REF!</v>
      </c>
      <c r="C343" s="1764" t="e">
        <f>L_CViec!#REF!</f>
        <v>#REF!</v>
      </c>
      <c r="D343" s="1765"/>
      <c r="E343" s="1765"/>
      <c r="F343" s="1766"/>
      <c r="G343" s="78" t="e">
        <f>L_CViec!#REF!</f>
        <v>#REF!</v>
      </c>
      <c r="H343" s="95" t="e">
        <f>L_CViec!#REF!</f>
        <v>#REF!</v>
      </c>
      <c r="I343" s="95"/>
      <c r="J343" s="95"/>
      <c r="K343" s="152" t="e">
        <f>SUM(K$291,K$294,K$296,K$306,K$234,K$308,K$310,K$317)+SUM(K$295,K$302,K$309)*$G343</f>
        <v>#REF!</v>
      </c>
      <c r="L343" s="152" t="e">
        <f t="shared" ref="L343:S343" si="58">SUM(L$291,L$294,L$296,L$306,L$234,L$308,L$310,L$317)+SUM(L$295,L$302,L$309)*$G343</f>
        <v>#REF!</v>
      </c>
      <c r="M343" s="152" t="e">
        <f t="shared" si="58"/>
        <v>#REF!</v>
      </c>
      <c r="N343" s="152" t="e">
        <f t="shared" si="58"/>
        <v>#REF!</v>
      </c>
      <c r="O343" s="152" t="e">
        <f t="shared" si="58"/>
        <v>#REF!</v>
      </c>
      <c r="P343" s="152" t="e">
        <f t="shared" si="58"/>
        <v>#REF!</v>
      </c>
      <c r="Q343" s="152" t="e">
        <f t="shared" si="58"/>
        <v>#REF!</v>
      </c>
      <c r="R343" s="152" t="e">
        <f t="shared" si="58"/>
        <v>#REF!</v>
      </c>
      <c r="S343" s="96" t="e">
        <f t="shared" si="58"/>
        <v>#REF!</v>
      </c>
    </row>
    <row r="344" spans="1:19" s="85" customFormat="1" ht="63.6" customHeight="1">
      <c r="A344" s="122" t="e">
        <f>L_CViec!#REF!</f>
        <v>#REF!</v>
      </c>
      <c r="B344" s="80" t="e">
        <f>L_CViec!#REF!</f>
        <v>#REF!</v>
      </c>
      <c r="C344" s="1764" t="e">
        <f>L_CViec!#REF!</f>
        <v>#REF!</v>
      </c>
      <c r="D344" s="1765"/>
      <c r="E344" s="1765"/>
      <c r="F344" s="1766"/>
      <c r="G344" s="78" t="e">
        <f>L_CViec!#REF!</f>
        <v>#REF!</v>
      </c>
      <c r="H344" s="95" t="e">
        <f>L_CViec!#REF!</f>
        <v>#REF!</v>
      </c>
      <c r="I344" s="95"/>
      <c r="J344" s="95"/>
      <c r="K344" s="152" t="e">
        <f>SUM(K$291,K$294,K$296,K$301,K$306,K$234,K$308,K$310,K$317)+SUM(K$295,K$302,K$309)*$G344</f>
        <v>#REF!</v>
      </c>
      <c r="L344" s="152" t="e">
        <f t="shared" ref="L344:S344" si="59">SUM(L$291,L$294,L$296,L$301,L$306,L$234,L$308,L$310,L$317)+SUM(L$295,L$302,L$309)*$G344</f>
        <v>#REF!</v>
      </c>
      <c r="M344" s="152" t="e">
        <f t="shared" si="59"/>
        <v>#REF!</v>
      </c>
      <c r="N344" s="152" t="e">
        <f t="shared" si="59"/>
        <v>#REF!</v>
      </c>
      <c r="O344" s="152" t="e">
        <f t="shared" si="59"/>
        <v>#REF!</v>
      </c>
      <c r="P344" s="152" t="e">
        <f t="shared" si="59"/>
        <v>#REF!</v>
      </c>
      <c r="Q344" s="152" t="e">
        <f t="shared" si="59"/>
        <v>#REF!</v>
      </c>
      <c r="R344" s="152" t="e">
        <f t="shared" si="59"/>
        <v>#REF!</v>
      </c>
      <c r="S344" s="96" t="e">
        <f t="shared" si="59"/>
        <v>#REF!</v>
      </c>
    </row>
    <row r="345" spans="1:19" s="85" customFormat="1" ht="63.6" customHeight="1">
      <c r="A345" s="122" t="e">
        <f>L_CViec!#REF!</f>
        <v>#REF!</v>
      </c>
      <c r="B345" s="80" t="e">
        <f>L_CViec!#REF!</f>
        <v>#REF!</v>
      </c>
      <c r="C345" s="1764" t="e">
        <f>L_CViec!#REF!</f>
        <v>#REF!</v>
      </c>
      <c r="D345" s="1765"/>
      <c r="E345" s="1765"/>
      <c r="F345" s="1766"/>
      <c r="G345" s="78" t="e">
        <f>L_CViec!#REF!</f>
        <v>#REF!</v>
      </c>
      <c r="H345" s="95" t="e">
        <f>L_CViec!#REF!</f>
        <v>#REF!</v>
      </c>
      <c r="I345" s="95"/>
      <c r="J345" s="95"/>
      <c r="K345" s="152" t="e">
        <f>SUM(K$291,K$294,K$296,K$306,K$234,K$308,K$310,K$317)+SUM(K$295,K$302,K$309)*$G345</f>
        <v>#REF!</v>
      </c>
      <c r="L345" s="152" t="e">
        <f t="shared" ref="L345:S345" si="60">SUM(L$291,L$294,L$296,L$306,L$234,L$308,L$310,L$317)+SUM(L$295,L$302,L$309)*$G345</f>
        <v>#REF!</v>
      </c>
      <c r="M345" s="152" t="e">
        <f t="shared" si="60"/>
        <v>#REF!</v>
      </c>
      <c r="N345" s="152" t="e">
        <f t="shared" si="60"/>
        <v>#REF!</v>
      </c>
      <c r="O345" s="152" t="e">
        <f t="shared" si="60"/>
        <v>#REF!</v>
      </c>
      <c r="P345" s="152" t="e">
        <f t="shared" si="60"/>
        <v>#REF!</v>
      </c>
      <c r="Q345" s="152" t="e">
        <f t="shared" si="60"/>
        <v>#REF!</v>
      </c>
      <c r="R345" s="152" t="e">
        <f t="shared" si="60"/>
        <v>#REF!</v>
      </c>
      <c r="S345" s="96" t="e">
        <f t="shared" si="60"/>
        <v>#REF!</v>
      </c>
    </row>
    <row r="346" spans="1:19" s="85" customFormat="1" ht="63.6" customHeight="1">
      <c r="A346" s="122" t="e">
        <f>L_CViec!#REF!</f>
        <v>#REF!</v>
      </c>
      <c r="B346" s="80" t="e">
        <f>L_CViec!#REF!</f>
        <v>#REF!</v>
      </c>
      <c r="C346" s="1764" t="e">
        <f>L_CViec!#REF!</f>
        <v>#REF!</v>
      </c>
      <c r="D346" s="1765"/>
      <c r="E346" s="1765"/>
      <c r="F346" s="1766"/>
      <c r="G346" s="78" t="e">
        <f>L_CViec!#REF!</f>
        <v>#REF!</v>
      </c>
      <c r="H346" s="95" t="e">
        <f>L_CViec!#REF!</f>
        <v>#REF!</v>
      </c>
      <c r="I346" s="95"/>
      <c r="J346" s="95"/>
      <c r="K346" s="152" t="e">
        <f>SUM(K$291,K$294,K$296,K$297,K$301,K$306,K$234,K$308,K$310,K$317)+SUM(K$295,K$302,K$309)*$G346</f>
        <v>#REF!</v>
      </c>
      <c r="L346" s="152" t="e">
        <f t="shared" ref="L346:S347" si="61">SUM(L$291,L$294,L$296,L$297,L$301,L$306,L$234,L$308,L$310,L$317)+SUM(L$295,L$302,L$309)*$G346</f>
        <v>#REF!</v>
      </c>
      <c r="M346" s="152" t="e">
        <f t="shared" si="61"/>
        <v>#REF!</v>
      </c>
      <c r="N346" s="152" t="e">
        <f t="shared" si="61"/>
        <v>#REF!</v>
      </c>
      <c r="O346" s="152" t="e">
        <f t="shared" si="61"/>
        <v>#REF!</v>
      </c>
      <c r="P346" s="152" t="e">
        <f t="shared" si="61"/>
        <v>#REF!</v>
      </c>
      <c r="Q346" s="152" t="e">
        <f t="shared" si="61"/>
        <v>#REF!</v>
      </c>
      <c r="R346" s="152" t="e">
        <f t="shared" si="61"/>
        <v>#REF!</v>
      </c>
      <c r="S346" s="96" t="e">
        <f t="shared" si="61"/>
        <v>#REF!</v>
      </c>
    </row>
    <row r="347" spans="1:19" s="85" customFormat="1" ht="63.6" customHeight="1">
      <c r="A347" s="122" t="e">
        <f>L_CViec!#REF!</f>
        <v>#REF!</v>
      </c>
      <c r="B347" s="80" t="e">
        <f>L_CViec!#REF!</f>
        <v>#REF!</v>
      </c>
      <c r="C347" s="1764" t="e">
        <f>L_CViec!#REF!</f>
        <v>#REF!</v>
      </c>
      <c r="D347" s="1765"/>
      <c r="E347" s="1765"/>
      <c r="F347" s="1766"/>
      <c r="G347" s="78" t="e">
        <f>L_CViec!#REF!</f>
        <v>#REF!</v>
      </c>
      <c r="H347" s="95" t="e">
        <f>L_CViec!#REF!</f>
        <v>#REF!</v>
      </c>
      <c r="I347" s="95"/>
      <c r="J347" s="95"/>
      <c r="K347" s="152" t="e">
        <f>SUM(K$291,K$294,K$296,K$297,K$301,K$306,K$234,K$308,K$310,K$317)+SUM(K$295,K$302,K$309)*$G347</f>
        <v>#REF!</v>
      </c>
      <c r="L347" s="152" t="e">
        <f t="shared" si="61"/>
        <v>#REF!</v>
      </c>
      <c r="M347" s="152" t="e">
        <f t="shared" si="61"/>
        <v>#REF!</v>
      </c>
      <c r="N347" s="152" t="e">
        <f t="shared" si="61"/>
        <v>#REF!</v>
      </c>
      <c r="O347" s="152" t="e">
        <f t="shared" si="61"/>
        <v>#REF!</v>
      </c>
      <c r="P347" s="152" t="e">
        <f t="shared" si="61"/>
        <v>#REF!</v>
      </c>
      <c r="Q347" s="152" t="e">
        <f t="shared" si="61"/>
        <v>#REF!</v>
      </c>
      <c r="R347" s="152" t="e">
        <f t="shared" si="61"/>
        <v>#REF!</v>
      </c>
      <c r="S347" s="96" t="e">
        <f t="shared" si="61"/>
        <v>#REF!</v>
      </c>
    </row>
    <row r="348" spans="1:19" s="85" customFormat="1" ht="63.6" customHeight="1">
      <c r="A348" s="122" t="e">
        <f>L_CViec!#REF!</f>
        <v>#REF!</v>
      </c>
      <c r="B348" s="80" t="e">
        <f>L_CViec!#REF!</f>
        <v>#REF!</v>
      </c>
      <c r="C348" s="1764" t="e">
        <f>L_CViec!#REF!</f>
        <v>#REF!</v>
      </c>
      <c r="D348" s="1765"/>
      <c r="E348" s="1765"/>
      <c r="F348" s="1766"/>
      <c r="G348" s="78" t="e">
        <f>L_CViec!#REF!</f>
        <v>#REF!</v>
      </c>
      <c r="H348" s="95" t="e">
        <f>L_CViec!#REF!</f>
        <v>#REF!</v>
      </c>
      <c r="I348" s="95"/>
      <c r="J348" s="95"/>
      <c r="K348" s="152" t="e">
        <f t="shared" ref="K348:S349" si="62">SUM(K$291,K$294,K$296,K$301,K$306,K$234,K$308,K$310,K$317)+SUM(K$295,K$302,K$309)*$G348</f>
        <v>#REF!</v>
      </c>
      <c r="L348" s="152" t="e">
        <f t="shared" si="62"/>
        <v>#REF!</v>
      </c>
      <c r="M348" s="152" t="e">
        <f t="shared" si="62"/>
        <v>#REF!</v>
      </c>
      <c r="N348" s="152" t="e">
        <f t="shared" si="62"/>
        <v>#REF!</v>
      </c>
      <c r="O348" s="152" t="e">
        <f t="shared" si="62"/>
        <v>#REF!</v>
      </c>
      <c r="P348" s="152" t="e">
        <f t="shared" si="62"/>
        <v>#REF!</v>
      </c>
      <c r="Q348" s="152" t="e">
        <f t="shared" si="62"/>
        <v>#REF!</v>
      </c>
      <c r="R348" s="152" t="e">
        <f t="shared" si="62"/>
        <v>#REF!</v>
      </c>
      <c r="S348" s="96" t="e">
        <f t="shared" si="62"/>
        <v>#REF!</v>
      </c>
    </row>
    <row r="349" spans="1:19" s="85" customFormat="1" ht="63.6" customHeight="1">
      <c r="A349" s="122" t="e">
        <f>L_CViec!#REF!</f>
        <v>#REF!</v>
      </c>
      <c r="B349" s="80" t="e">
        <f>L_CViec!#REF!</f>
        <v>#REF!</v>
      </c>
      <c r="C349" s="1764" t="e">
        <f>L_CViec!#REF!</f>
        <v>#REF!</v>
      </c>
      <c r="D349" s="1765"/>
      <c r="E349" s="1765"/>
      <c r="F349" s="1766"/>
      <c r="G349" s="78" t="e">
        <f>L_CViec!#REF!</f>
        <v>#REF!</v>
      </c>
      <c r="H349" s="95" t="e">
        <f>L_CViec!#REF!</f>
        <v>#REF!</v>
      </c>
      <c r="I349" s="95"/>
      <c r="J349" s="95"/>
      <c r="K349" s="152" t="e">
        <f t="shared" si="62"/>
        <v>#REF!</v>
      </c>
      <c r="L349" s="152" t="e">
        <f t="shared" si="62"/>
        <v>#REF!</v>
      </c>
      <c r="M349" s="152" t="e">
        <f t="shared" si="62"/>
        <v>#REF!</v>
      </c>
      <c r="N349" s="152" t="e">
        <f t="shared" si="62"/>
        <v>#REF!</v>
      </c>
      <c r="O349" s="152" t="e">
        <f t="shared" si="62"/>
        <v>#REF!</v>
      </c>
      <c r="P349" s="152" t="e">
        <f t="shared" si="62"/>
        <v>#REF!</v>
      </c>
      <c r="Q349" s="152" t="e">
        <f t="shared" si="62"/>
        <v>#REF!</v>
      </c>
      <c r="R349" s="152" t="e">
        <f t="shared" si="62"/>
        <v>#REF!</v>
      </c>
      <c r="S349" s="96" t="e">
        <f t="shared" si="62"/>
        <v>#REF!</v>
      </c>
    </row>
    <row r="350" spans="1:19" s="85" customFormat="1" ht="63.6" customHeight="1">
      <c r="A350" s="122" t="e">
        <f>L_CViec!#REF!</f>
        <v>#REF!</v>
      </c>
      <c r="B350" s="80" t="e">
        <f>L_CViec!#REF!</f>
        <v>#REF!</v>
      </c>
      <c r="C350" s="1764" t="e">
        <f>L_CViec!#REF!</f>
        <v>#REF!</v>
      </c>
      <c r="D350" s="1765"/>
      <c r="E350" s="1765"/>
      <c r="F350" s="1766"/>
      <c r="G350" s="78" t="e">
        <f>L_CViec!#REF!</f>
        <v>#REF!</v>
      </c>
      <c r="H350" s="95" t="e">
        <f>L_CViec!#REF!</f>
        <v>#REF!</v>
      </c>
      <c r="I350" s="95"/>
      <c r="J350" s="95"/>
      <c r="K350" s="152" t="e">
        <f t="shared" ref="K350:S351" si="63">SUM(K$291,K$294,K$296,K$306,K$234,K$308,K$310,K$317)+SUM(K$295,K$302,K$309)*$G350</f>
        <v>#REF!</v>
      </c>
      <c r="L350" s="152" t="e">
        <f t="shared" si="63"/>
        <v>#REF!</v>
      </c>
      <c r="M350" s="152" t="e">
        <f t="shared" si="63"/>
        <v>#REF!</v>
      </c>
      <c r="N350" s="152" t="e">
        <f t="shared" si="63"/>
        <v>#REF!</v>
      </c>
      <c r="O350" s="152" t="e">
        <f t="shared" si="63"/>
        <v>#REF!</v>
      </c>
      <c r="P350" s="152" t="e">
        <f t="shared" si="63"/>
        <v>#REF!</v>
      </c>
      <c r="Q350" s="152" t="e">
        <f t="shared" si="63"/>
        <v>#REF!</v>
      </c>
      <c r="R350" s="152" t="e">
        <f t="shared" si="63"/>
        <v>#REF!</v>
      </c>
      <c r="S350" s="96" t="e">
        <f t="shared" si="63"/>
        <v>#REF!</v>
      </c>
    </row>
    <row r="351" spans="1:19" s="85" customFormat="1" ht="63.6" customHeight="1">
      <c r="A351" s="122" t="e">
        <f>L_CViec!#REF!</f>
        <v>#REF!</v>
      </c>
      <c r="B351" s="80" t="e">
        <f>L_CViec!#REF!</f>
        <v>#REF!</v>
      </c>
      <c r="C351" s="1764" t="e">
        <f>L_CViec!#REF!</f>
        <v>#REF!</v>
      </c>
      <c r="D351" s="1765"/>
      <c r="E351" s="1765"/>
      <c r="F351" s="1766"/>
      <c r="G351" s="78" t="e">
        <f>L_CViec!#REF!</f>
        <v>#REF!</v>
      </c>
      <c r="H351" s="95" t="e">
        <f>L_CViec!#REF!</f>
        <v>#REF!</v>
      </c>
      <c r="I351" s="95"/>
      <c r="J351" s="95"/>
      <c r="K351" s="152" t="e">
        <f t="shared" si="63"/>
        <v>#REF!</v>
      </c>
      <c r="L351" s="152" t="e">
        <f t="shared" si="63"/>
        <v>#REF!</v>
      </c>
      <c r="M351" s="152" t="e">
        <f t="shared" si="63"/>
        <v>#REF!</v>
      </c>
      <c r="N351" s="152" t="e">
        <f t="shared" si="63"/>
        <v>#REF!</v>
      </c>
      <c r="O351" s="152" t="e">
        <f t="shared" si="63"/>
        <v>#REF!</v>
      </c>
      <c r="P351" s="152" t="e">
        <f t="shared" si="63"/>
        <v>#REF!</v>
      </c>
      <c r="Q351" s="152" t="e">
        <f t="shared" si="63"/>
        <v>#REF!</v>
      </c>
      <c r="R351" s="152" t="e">
        <f t="shared" si="63"/>
        <v>#REF!</v>
      </c>
      <c r="S351" s="96" t="e">
        <f t="shared" si="63"/>
        <v>#REF!</v>
      </c>
    </row>
    <row r="352" spans="1:19" s="85" customFormat="1" ht="63.6" customHeight="1" thickBot="1">
      <c r="A352" s="127" t="e">
        <f>L_CViec!#REF!</f>
        <v>#REF!</v>
      </c>
      <c r="B352" s="132" t="e">
        <f>L_CViec!#REF!</f>
        <v>#REF!</v>
      </c>
      <c r="C352" s="1767" t="e">
        <f>L_CViec!#REF!</f>
        <v>#REF!</v>
      </c>
      <c r="D352" s="1768"/>
      <c r="E352" s="1768"/>
      <c r="F352" s="1769"/>
      <c r="G352" s="128" t="e">
        <f>L_CViec!#REF!</f>
        <v>#REF!</v>
      </c>
      <c r="H352" s="97" t="e">
        <f>L_CViec!#REF!</f>
        <v>#REF!</v>
      </c>
      <c r="I352" s="97"/>
      <c r="J352" s="97"/>
      <c r="K352" s="171" t="e">
        <f>SUM(K$298,K$306,K$234,K$308,K$310,K$317)+SUM(K$302,K$309)*$G352</f>
        <v>#REF!</v>
      </c>
      <c r="L352" s="171" t="e">
        <f t="shared" ref="L352:S352" si="64">SUM(L$298,L$306,L$234,L$308,L$310,L$317)+SUM(L$302,L$309)*$G352</f>
        <v>#REF!</v>
      </c>
      <c r="M352" s="171" t="e">
        <f t="shared" si="64"/>
        <v>#REF!</v>
      </c>
      <c r="N352" s="171" t="e">
        <f t="shared" si="64"/>
        <v>#REF!</v>
      </c>
      <c r="O352" s="171" t="e">
        <f t="shared" si="64"/>
        <v>#REF!</v>
      </c>
      <c r="P352" s="171" t="e">
        <f t="shared" si="64"/>
        <v>#REF!</v>
      </c>
      <c r="Q352" s="171" t="e">
        <f t="shared" si="64"/>
        <v>#REF!</v>
      </c>
      <c r="R352" s="171" t="e">
        <f t="shared" si="64"/>
        <v>#REF!</v>
      </c>
      <c r="S352" s="98" t="e">
        <f t="shared" si="64"/>
        <v>#REF!</v>
      </c>
    </row>
  </sheetData>
  <mergeCells count="142">
    <mergeCell ref="B54:F54"/>
    <mergeCell ref="B61:F61"/>
    <mergeCell ref="C3:C4"/>
    <mergeCell ref="E3:E4"/>
    <mergeCell ref="G3:I3"/>
    <mergeCell ref="J3:J4"/>
    <mergeCell ref="K3:M3"/>
    <mergeCell ref="N3:P3"/>
    <mergeCell ref="Q3:S3"/>
    <mergeCell ref="A6:A15"/>
    <mergeCell ref="B6:C15"/>
    <mergeCell ref="F6:F7"/>
    <mergeCell ref="F8:F9"/>
    <mergeCell ref="F10:F11"/>
    <mergeCell ref="F12:F13"/>
    <mergeCell ref="F14:F15"/>
    <mergeCell ref="A3:A4"/>
    <mergeCell ref="B5:D5"/>
    <mergeCell ref="A94:A98"/>
    <mergeCell ref="B94:B98"/>
    <mergeCell ref="B88:M88"/>
    <mergeCell ref="B89:M89"/>
    <mergeCell ref="B90:M90"/>
    <mergeCell ref="B91:M91"/>
    <mergeCell ref="B93:D93"/>
    <mergeCell ref="B92:P92"/>
    <mergeCell ref="B147:D147"/>
    <mergeCell ref="B172:D172"/>
    <mergeCell ref="B146:D146"/>
    <mergeCell ref="B242:D242"/>
    <mergeCell ref="B244:D244"/>
    <mergeCell ref="B142:M142"/>
    <mergeCell ref="B143:M143"/>
    <mergeCell ref="B144:M144"/>
    <mergeCell ref="B145:M145"/>
    <mergeCell ref="B216:D216"/>
    <mergeCell ref="B209:D209"/>
    <mergeCell ref="B178:M178"/>
    <mergeCell ref="B179:M179"/>
    <mergeCell ref="B180:M180"/>
    <mergeCell ref="B175:M175"/>
    <mergeCell ref="B176:M176"/>
    <mergeCell ref="B177:M177"/>
    <mergeCell ref="B247:M247"/>
    <mergeCell ref="B248:M248"/>
    <mergeCell ref="A253:A254"/>
    <mergeCell ref="B253:B254"/>
    <mergeCell ref="C253:F254"/>
    <mergeCell ref="G253:I254"/>
    <mergeCell ref="J253:J254"/>
    <mergeCell ref="K253:M253"/>
    <mergeCell ref="N253:P253"/>
    <mergeCell ref="Q253:S253"/>
    <mergeCell ref="C255:F255"/>
    <mergeCell ref="C256:F256"/>
    <mergeCell ref="C257:F257"/>
    <mergeCell ref="C258:F258"/>
    <mergeCell ref="C259:F259"/>
    <mergeCell ref="C260:F260"/>
    <mergeCell ref="C261:F261"/>
    <mergeCell ref="C262:F262"/>
    <mergeCell ref="C278:F278"/>
    <mergeCell ref="C279:F279"/>
    <mergeCell ref="C280:F280"/>
    <mergeCell ref="C263:F263"/>
    <mergeCell ref="C264:F264"/>
    <mergeCell ref="C265:F265"/>
    <mergeCell ref="C266:F266"/>
    <mergeCell ref="C267:F267"/>
    <mergeCell ref="C268:F268"/>
    <mergeCell ref="C269:F269"/>
    <mergeCell ref="C270:F270"/>
    <mergeCell ref="C271:F271"/>
    <mergeCell ref="Q287:S287"/>
    <mergeCell ref="B321:M321"/>
    <mergeCell ref="B290:D290"/>
    <mergeCell ref="B289:D289"/>
    <mergeCell ref="B316:D316"/>
    <mergeCell ref="B318:D318"/>
    <mergeCell ref="A325:A326"/>
    <mergeCell ref="B325:B326"/>
    <mergeCell ref="C325:F326"/>
    <mergeCell ref="G325:I326"/>
    <mergeCell ref="J325:J326"/>
    <mergeCell ref="K325:M325"/>
    <mergeCell ref="Q325:S325"/>
    <mergeCell ref="A287:A288"/>
    <mergeCell ref="C287:C288"/>
    <mergeCell ref="E287:E288"/>
    <mergeCell ref="G287:I287"/>
    <mergeCell ref="J287:J288"/>
    <mergeCell ref="K287:M287"/>
    <mergeCell ref="N325:P325"/>
    <mergeCell ref="N287:P287"/>
    <mergeCell ref="C331:F331"/>
    <mergeCell ref="A1:J1"/>
    <mergeCell ref="C343:F343"/>
    <mergeCell ref="C344:F344"/>
    <mergeCell ref="C345:F345"/>
    <mergeCell ref="C346:F346"/>
    <mergeCell ref="C337:F337"/>
    <mergeCell ref="C338:F338"/>
    <mergeCell ref="C339:F339"/>
    <mergeCell ref="C340:F340"/>
    <mergeCell ref="B42:D42"/>
    <mergeCell ref="C327:F327"/>
    <mergeCell ref="C328:F328"/>
    <mergeCell ref="C329:F329"/>
    <mergeCell ref="C330:F330"/>
    <mergeCell ref="B322:M322"/>
    <mergeCell ref="C332:F332"/>
    <mergeCell ref="C333:F333"/>
    <mergeCell ref="C334:F334"/>
    <mergeCell ref="C335:F335"/>
    <mergeCell ref="C281:F281"/>
    <mergeCell ref="C282:F282"/>
    <mergeCell ref="C276:F276"/>
    <mergeCell ref="C277:F277"/>
    <mergeCell ref="C349:F349"/>
    <mergeCell ref="C350:F350"/>
    <mergeCell ref="C351:F351"/>
    <mergeCell ref="C352:F352"/>
    <mergeCell ref="C348:F348"/>
    <mergeCell ref="C341:F341"/>
    <mergeCell ref="C342:F342"/>
    <mergeCell ref="C347:F347"/>
    <mergeCell ref="B85:D85"/>
    <mergeCell ref="B137:D137"/>
    <mergeCell ref="B139:D139"/>
    <mergeCell ref="B215:D215"/>
    <mergeCell ref="B207:D207"/>
    <mergeCell ref="B212:M212"/>
    <mergeCell ref="B213:M213"/>
    <mergeCell ref="B214:M214"/>
    <mergeCell ref="B182:D182"/>
    <mergeCell ref="B181:D181"/>
    <mergeCell ref="C336:F336"/>
    <mergeCell ref="C283:F283"/>
    <mergeCell ref="C272:F272"/>
    <mergeCell ref="C273:F273"/>
    <mergeCell ref="C274:F274"/>
    <mergeCell ref="C275:F275"/>
  </mergeCells>
  <printOptions horizontalCentered="1"/>
  <pageMargins left="0.39370078740157483" right="0.19685039370078741" top="0.39370078740157483" bottom="0.23622047244094491" header="0.19685039370078741" footer="0"/>
  <pageSetup paperSize="9" scale="93" firstPageNumber="90" pageOrder="overThenDown" orientation="landscape" useFirstPageNumber="1" horizontalDpi="300" verticalDpi="300" r:id="rId1"/>
  <headerFooter alignWithMargins="0">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rgb="FFFFFF00"/>
  </sheetPr>
  <dimension ref="A1:N814"/>
  <sheetViews>
    <sheetView showZeros="0" view="pageBreakPreview" zoomScale="80" zoomScaleNormal="100" zoomScaleSheetLayoutView="80" workbookViewId="0">
      <selection sqref="A1:N1"/>
    </sheetView>
  </sheetViews>
  <sheetFormatPr defaultColWidth="9" defaultRowHeight="15"/>
  <cols>
    <col min="1" max="1" width="8.109375" style="598" customWidth="1"/>
    <col min="2" max="2" width="44.77734375" style="552" customWidth="1"/>
    <col min="3" max="3" width="10.109375" style="598" customWidth="1"/>
    <col min="4" max="4" width="6.77734375" style="598" customWidth="1"/>
    <col min="5" max="5" width="12.88671875" style="552" customWidth="1"/>
    <col min="6" max="6" width="10" style="552" customWidth="1"/>
    <col min="7" max="7" width="8.77734375" style="552" customWidth="1"/>
    <col min="8" max="8" width="9.88671875" style="552" customWidth="1"/>
    <col min="9" max="9" width="9.44140625" style="552" customWidth="1"/>
    <col min="10" max="10" width="11.33203125" style="552" customWidth="1"/>
    <col min="11" max="11" width="12.21875" style="552" customWidth="1"/>
    <col min="12" max="12" width="11.21875" style="552" customWidth="1"/>
    <col min="13" max="13" width="13.6640625" style="552" customWidth="1"/>
    <col min="14" max="14" width="11" style="552" customWidth="1"/>
    <col min="15" max="16384" width="9" style="552"/>
  </cols>
  <sheetData>
    <row r="1" spans="1:14" ht="24.75" customHeight="1" thickBot="1">
      <c r="A1" s="1544" t="s">
        <v>561</v>
      </c>
      <c r="B1" s="1544"/>
      <c r="C1" s="1544"/>
      <c r="D1" s="1544"/>
      <c r="E1" s="1544"/>
      <c r="F1" s="1544"/>
      <c r="G1" s="1544"/>
      <c r="H1" s="1544"/>
      <c r="I1" s="1544"/>
      <c r="J1" s="1544"/>
      <c r="K1" s="1544"/>
      <c r="L1" s="1544"/>
      <c r="M1" s="1544"/>
      <c r="N1" s="1544"/>
    </row>
    <row r="2" spans="1:14" s="530" customFormat="1" ht="30" customHeight="1">
      <c r="A2" s="1862" t="s">
        <v>29</v>
      </c>
      <c r="B2" s="1859" t="s">
        <v>16</v>
      </c>
      <c r="C2" s="1859" t="s">
        <v>39</v>
      </c>
      <c r="D2" s="1859" t="s">
        <v>519</v>
      </c>
      <c r="E2" s="1859" t="s">
        <v>7</v>
      </c>
      <c r="F2" s="1859" t="s">
        <v>8</v>
      </c>
      <c r="G2" s="1859" t="s">
        <v>10</v>
      </c>
      <c r="H2" s="1859" t="s">
        <v>11</v>
      </c>
      <c r="I2" s="1859" t="s">
        <v>498</v>
      </c>
      <c r="J2" s="1859" t="s">
        <v>497</v>
      </c>
      <c r="K2" s="1859" t="s">
        <v>12</v>
      </c>
      <c r="L2" s="1868" t="s">
        <v>577</v>
      </c>
      <c r="M2" s="1859" t="s">
        <v>14</v>
      </c>
      <c r="N2" s="1865" t="s">
        <v>562</v>
      </c>
    </row>
    <row r="3" spans="1:14" s="530" customFormat="1" ht="30" customHeight="1">
      <c r="A3" s="1863"/>
      <c r="B3" s="1860"/>
      <c r="C3" s="1860"/>
      <c r="D3" s="1860"/>
      <c r="E3" s="1860"/>
      <c r="F3" s="1860"/>
      <c r="G3" s="1860" t="s">
        <v>9</v>
      </c>
      <c r="H3" s="1860"/>
      <c r="I3" s="1860"/>
      <c r="J3" s="1860"/>
      <c r="K3" s="1860"/>
      <c r="L3" s="1869"/>
      <c r="M3" s="1860"/>
      <c r="N3" s="1866"/>
    </row>
    <row r="4" spans="1:14" s="530" customFormat="1" ht="30" customHeight="1">
      <c r="A4" s="1864"/>
      <c r="B4" s="1861"/>
      <c r="C4" s="1861"/>
      <c r="D4" s="1861"/>
      <c r="E4" s="1861"/>
      <c r="F4" s="1861"/>
      <c r="G4" s="1861"/>
      <c r="H4" s="1861"/>
      <c r="I4" s="1861"/>
      <c r="J4" s="1861"/>
      <c r="K4" s="1861"/>
      <c r="L4" s="599">
        <v>0.15</v>
      </c>
      <c r="M4" s="1861"/>
      <c r="N4" s="1867"/>
    </row>
    <row r="5" spans="1:14" s="534" customFormat="1" ht="30" customHeight="1">
      <c r="A5" s="1856" t="str">
        <f>NCong!A5</f>
        <v>I</v>
      </c>
      <c r="B5" s="1857" t="s">
        <v>573</v>
      </c>
      <c r="C5" s="1858" t="s">
        <v>53</v>
      </c>
      <c r="D5" s="531">
        <v>1</v>
      </c>
      <c r="E5" s="532" t="e">
        <f t="shared" ref="E5:J7" si="0">E8+E$11+E$22</f>
        <v>#REF!</v>
      </c>
      <c r="F5" s="532">
        <f t="shared" si="0"/>
        <v>45890.096153846156</v>
      </c>
      <c r="G5" s="532">
        <f t="shared" si="0"/>
        <v>9620.4272033628222</v>
      </c>
      <c r="H5" s="532">
        <f t="shared" si="0"/>
        <v>33001</v>
      </c>
      <c r="I5" s="532" t="e">
        <f t="shared" si="0"/>
        <v>#REF!</v>
      </c>
      <c r="J5" s="532" t="e">
        <f t="shared" si="0"/>
        <v>#REF!</v>
      </c>
      <c r="K5" s="532" t="e">
        <f>SUM(E5:J5)</f>
        <v>#REF!</v>
      </c>
      <c r="L5" s="532" t="e">
        <f>$L$4*K5</f>
        <v>#REF!</v>
      </c>
      <c r="M5" s="532" t="e">
        <f>K5+L5</f>
        <v>#REF!</v>
      </c>
      <c r="N5" s="533" t="e">
        <f>N8+N$11+N$22</f>
        <v>#REF!</v>
      </c>
    </row>
    <row r="6" spans="1:14" s="534" customFormat="1" ht="30" customHeight="1">
      <c r="A6" s="1830"/>
      <c r="B6" s="1831"/>
      <c r="C6" s="1832"/>
      <c r="D6" s="536">
        <v>2</v>
      </c>
      <c r="E6" s="537" t="e">
        <f t="shared" si="0"/>
        <v>#REF!</v>
      </c>
      <c r="F6" s="537">
        <f t="shared" si="0"/>
        <v>54986.25</v>
      </c>
      <c r="G6" s="537">
        <f t="shared" si="0"/>
        <v>10599.706408025642</v>
      </c>
      <c r="H6" s="537">
        <f t="shared" si="0"/>
        <v>33001</v>
      </c>
      <c r="I6" s="537" t="e">
        <f t="shared" si="0"/>
        <v>#REF!</v>
      </c>
      <c r="J6" s="537" t="e">
        <f t="shared" si="0"/>
        <v>#REF!</v>
      </c>
      <c r="K6" s="537" t="e">
        <f>SUM(E6:J6)</f>
        <v>#REF!</v>
      </c>
      <c r="L6" s="537" t="e">
        <f t="shared" ref="L6:L41" si="1">$L$4*K6</f>
        <v>#REF!</v>
      </c>
      <c r="M6" s="537" t="e">
        <f>K6+L6</f>
        <v>#REF!</v>
      </c>
      <c r="N6" s="538" t="e">
        <f>N9+N$11+N$22</f>
        <v>#REF!</v>
      </c>
    </row>
    <row r="7" spans="1:14" s="534" customFormat="1" ht="30" customHeight="1">
      <c r="A7" s="1830"/>
      <c r="B7" s="1831"/>
      <c r="C7" s="1832"/>
      <c r="D7" s="536">
        <v>3</v>
      </c>
      <c r="E7" s="537" t="e">
        <f t="shared" si="0"/>
        <v>#REF!</v>
      </c>
      <c r="F7" s="537">
        <f t="shared" si="0"/>
        <v>65901.634615384624</v>
      </c>
      <c r="G7" s="537">
        <f t="shared" si="0"/>
        <v>11578.985612688464</v>
      </c>
      <c r="H7" s="537">
        <f t="shared" si="0"/>
        <v>33001</v>
      </c>
      <c r="I7" s="537" t="e">
        <f t="shared" si="0"/>
        <v>#REF!</v>
      </c>
      <c r="J7" s="537" t="e">
        <f t="shared" si="0"/>
        <v>#REF!</v>
      </c>
      <c r="K7" s="537" t="e">
        <f>SUM(E7:J7)</f>
        <v>#REF!</v>
      </c>
      <c r="L7" s="537" t="e">
        <f t="shared" si="1"/>
        <v>#REF!</v>
      </c>
      <c r="M7" s="537" t="e">
        <f>K7+L7</f>
        <v>#REF!</v>
      </c>
      <c r="N7" s="538" t="e">
        <f>N10+N$11+N$22</f>
        <v>#REF!</v>
      </c>
    </row>
    <row r="8" spans="1:14" s="544" customFormat="1" ht="30" customHeight="1">
      <c r="A8" s="1833" t="str">
        <f>NCong!A6</f>
        <v>I.1</v>
      </c>
      <c r="B8" s="1834" t="str">
        <f>NCong!B6</f>
        <v>CÁC NỘI DUNG THỰC HIỆN TẠI ĐỊA BÀN XÃ, PHƯỜNG</v>
      </c>
      <c r="C8" s="1835" t="s">
        <v>53</v>
      </c>
      <c r="D8" s="541">
        <v>1</v>
      </c>
      <c r="E8" s="542">
        <f>NCong!I6</f>
        <v>719969.23439999996</v>
      </c>
      <c r="F8" s="542">
        <f>NCong!I7</f>
        <v>45890.096153846156</v>
      </c>
      <c r="G8" s="542">
        <f>Dcu!J20</f>
        <v>8813.5128419653865</v>
      </c>
      <c r="H8" s="542">
        <f>VLieu!H$24</f>
        <v>33001</v>
      </c>
      <c r="I8" s="542" t="e">
        <f>Tbi!#REF!</f>
        <v>#REF!</v>
      </c>
      <c r="J8" s="542" t="e">
        <f>Tbi!#REF!+Dcu!J16</f>
        <v>#REF!</v>
      </c>
      <c r="K8" s="542" t="e">
        <f t="shared" ref="K8:K41" si="2">SUM(E8:J8)</f>
        <v>#REF!</v>
      </c>
      <c r="L8" s="542" t="e">
        <f t="shared" si="1"/>
        <v>#REF!</v>
      </c>
      <c r="M8" s="542" t="e">
        <f t="shared" ref="M8:M41" si="3">K8+L8</f>
        <v>#REF!</v>
      </c>
      <c r="N8" s="543">
        <f>NCong!J6</f>
        <v>855969.76237499993</v>
      </c>
    </row>
    <row r="9" spans="1:14" s="544" customFormat="1" ht="30" customHeight="1">
      <c r="A9" s="1833"/>
      <c r="B9" s="1834"/>
      <c r="C9" s="1835"/>
      <c r="D9" s="541">
        <v>2</v>
      </c>
      <c r="E9" s="542">
        <f>NCong!I8</f>
        <v>771287.18939999992</v>
      </c>
      <c r="F9" s="542">
        <f>NCong!I9</f>
        <v>54986.25</v>
      </c>
      <c r="G9" s="542">
        <f>Dcu!J21</f>
        <v>9792.7920466282067</v>
      </c>
      <c r="H9" s="542">
        <f>VLieu!H$24</f>
        <v>33001</v>
      </c>
      <c r="I9" s="542" t="e">
        <f>Tbi!#REF!</f>
        <v>#REF!</v>
      </c>
      <c r="J9" s="542" t="e">
        <f>Tbi!#REF!</f>
        <v>#REF!</v>
      </c>
      <c r="K9" s="542" t="e">
        <f t="shared" si="2"/>
        <v>#REF!</v>
      </c>
      <c r="L9" s="542" t="e">
        <f t="shared" si="1"/>
        <v>#REF!</v>
      </c>
      <c r="M9" s="542" t="e">
        <f t="shared" si="3"/>
        <v>#REF!</v>
      </c>
      <c r="N9" s="543">
        <f>NCong!J8</f>
        <v>855969.76237499993</v>
      </c>
    </row>
    <row r="10" spans="1:14" s="544" customFormat="1" ht="30" customHeight="1">
      <c r="A10" s="1833"/>
      <c r="B10" s="1834"/>
      <c r="C10" s="1835"/>
      <c r="D10" s="541">
        <v>3</v>
      </c>
      <c r="E10" s="542">
        <f>NCong!I10</f>
        <v>832868.73540000001</v>
      </c>
      <c r="F10" s="542">
        <f>NCong!I11</f>
        <v>65901.634615384624</v>
      </c>
      <c r="G10" s="542">
        <f>Dcu!J22</f>
        <v>10772.071251291029</v>
      </c>
      <c r="H10" s="542">
        <f>VLieu!H$24</f>
        <v>33001</v>
      </c>
      <c r="I10" s="542" t="e">
        <f>Tbi!#REF!</f>
        <v>#REF!</v>
      </c>
      <c r="J10" s="542" t="e">
        <f>Tbi!#REF!</f>
        <v>#REF!</v>
      </c>
      <c r="K10" s="542" t="e">
        <f t="shared" si="2"/>
        <v>#REF!</v>
      </c>
      <c r="L10" s="542" t="e">
        <f t="shared" si="1"/>
        <v>#REF!</v>
      </c>
      <c r="M10" s="542" t="e">
        <f t="shared" si="3"/>
        <v>#REF!</v>
      </c>
      <c r="N10" s="543">
        <f>NCong!J10</f>
        <v>889101.354375</v>
      </c>
    </row>
    <row r="11" spans="1:14" s="544" customFormat="1" ht="30" customHeight="1">
      <c r="A11" s="539" t="e">
        <f>NCong!#REF!</f>
        <v>#REF!</v>
      </c>
      <c r="B11" s="545" t="e">
        <f>NCong!#REF!</f>
        <v>#REF!</v>
      </c>
      <c r="C11" s="540" t="s">
        <v>53</v>
      </c>
      <c r="D11" s="541" t="s">
        <v>32</v>
      </c>
      <c r="E11" s="542" t="e">
        <f>NCong!#REF!-E13-E15-E16</f>
        <v>#REF!</v>
      </c>
      <c r="F11" s="542"/>
      <c r="G11" s="542">
        <f>Dcu!K20</f>
        <v>0</v>
      </c>
      <c r="H11" s="542">
        <f>VLieu!I24</f>
        <v>0</v>
      </c>
      <c r="I11" s="542">
        <f>Tbi!I5</f>
        <v>6693.6062000000002</v>
      </c>
      <c r="J11" s="542">
        <f>Tbi!I12+Dcu!K16</f>
        <v>11212.0811985</v>
      </c>
      <c r="K11" s="542" t="e">
        <f>SUM(E11:J11)</f>
        <v>#REF!</v>
      </c>
      <c r="L11" s="542" t="e">
        <f>$L$4*K11</f>
        <v>#REF!</v>
      </c>
      <c r="M11" s="542" t="e">
        <f>K11+L11</f>
        <v>#REF!</v>
      </c>
      <c r="N11" s="543" t="e">
        <f>NCong!#REF!-N13-N15</f>
        <v>#REF!</v>
      </c>
    </row>
    <row r="12" spans="1:14" ht="30" customHeight="1">
      <c r="A12" s="546" t="str">
        <f>NCong!A55</f>
        <v>17</v>
      </c>
      <c r="B12" s="547" t="str">
        <f>NCong!B55</f>
        <v>Chuyển hồ sơ đến Văn phòng đăng ký đất đai để cập nhật, chỉnh lý hồ sơ địa chính, cơ sở dữ liệu đất đai.</v>
      </c>
      <c r="C12" s="548" t="str">
        <f>NCong!C55</f>
        <v>Hồ sơ</v>
      </c>
      <c r="D12" s="549" t="s">
        <v>32</v>
      </c>
      <c r="E12" s="550">
        <f>NCong!I55</f>
        <v>5201.82</v>
      </c>
      <c r="F12" s="550"/>
      <c r="G12" s="550"/>
      <c r="H12" s="550"/>
      <c r="I12" s="550"/>
      <c r="J12" s="550"/>
      <c r="K12" s="550">
        <f t="shared" si="2"/>
        <v>5201.82</v>
      </c>
      <c r="L12" s="550">
        <f t="shared" si="1"/>
        <v>780.27299999999991</v>
      </c>
      <c r="M12" s="550">
        <f t="shared" si="3"/>
        <v>5982.0929999999998</v>
      </c>
      <c r="N12" s="551">
        <f>NCong!J55</f>
        <v>511.29</v>
      </c>
    </row>
    <row r="13" spans="1:14" s="558" customFormat="1" ht="30" customHeight="1">
      <c r="A13" s="553" t="str">
        <f>NCong!A56</f>
        <v>18</v>
      </c>
      <c r="B13" s="554" t="str">
        <f>NCong!B56</f>
        <v>Lập, gửi Phiếu chuyển thông tin xác định nghĩa vụ tài chính đối với trường hợp có nhu cầu cấp Giấy chứng nhận và đủ điều kiện</v>
      </c>
      <c r="C13" s="555">
        <f>NCong!C56</f>
        <v>0</v>
      </c>
      <c r="D13" s="549" t="s">
        <v>32</v>
      </c>
      <c r="E13" s="556">
        <f>NCong!I56</f>
        <v>0</v>
      </c>
      <c r="F13" s="556"/>
      <c r="G13" s="556"/>
      <c r="H13" s="556"/>
      <c r="I13" s="556"/>
      <c r="J13" s="556"/>
      <c r="K13" s="556">
        <f>SUM(E13:J13)</f>
        <v>0</v>
      </c>
      <c r="L13" s="556">
        <f>$L$4*K13</f>
        <v>0</v>
      </c>
      <c r="M13" s="556">
        <f>K13+L13</f>
        <v>0</v>
      </c>
      <c r="N13" s="557">
        <f>NCong!J56</f>
        <v>0</v>
      </c>
    </row>
    <row r="14" spans="1:14" s="558" customFormat="1" ht="30" customHeight="1">
      <c r="A14" s="553" t="str">
        <f>NCong!A57</f>
        <v>18.1</v>
      </c>
      <c r="B14" s="554" t="str">
        <f>NCong!B57</f>
        <v>Chuyển thông tin theo hình thức liên thông</v>
      </c>
      <c r="C14" s="555" t="str">
        <f>NCong!C57</f>
        <v>Hồ sơ</v>
      </c>
      <c r="D14" s="549" t="s">
        <v>32</v>
      </c>
      <c r="E14" s="556">
        <f>NCong!I57</f>
        <v>16672.5</v>
      </c>
      <c r="F14" s="556"/>
      <c r="G14" s="556"/>
      <c r="H14" s="556"/>
      <c r="I14" s="556"/>
      <c r="J14" s="556"/>
      <c r="K14" s="556">
        <f t="shared" si="2"/>
        <v>16672.5</v>
      </c>
      <c r="L14" s="556">
        <f t="shared" si="1"/>
        <v>2500.875</v>
      </c>
      <c r="M14" s="556">
        <f t="shared" si="3"/>
        <v>19173.375</v>
      </c>
      <c r="N14" s="557">
        <f>NCong!J57</f>
        <v>1278.2250000000001</v>
      </c>
    </row>
    <row r="15" spans="1:14" ht="30" customHeight="1">
      <c r="A15" s="546" t="str">
        <f>NCong!A66</f>
        <v>22.2</v>
      </c>
      <c r="B15" s="559" t="str">
        <f>NCong!B66</f>
        <v>Đối với những nơi chưa có bản đồ dạng số</v>
      </c>
      <c r="C15" s="548" t="str">
        <f>NCong!C66</f>
        <v>GCN</v>
      </c>
      <c r="D15" s="555" t="s">
        <v>32</v>
      </c>
      <c r="E15" s="550">
        <f>NCong!I66</f>
        <v>29677.050000000003</v>
      </c>
      <c r="F15" s="550"/>
      <c r="G15" s="550">
        <f>Dcu!K26</f>
        <v>0</v>
      </c>
      <c r="H15" s="550">
        <f>VLieu!I27</f>
        <v>3680</v>
      </c>
      <c r="I15" s="550"/>
      <c r="J15" s="550"/>
      <c r="K15" s="550">
        <f t="shared" si="2"/>
        <v>33357.050000000003</v>
      </c>
      <c r="L15" s="550">
        <f t="shared" si="1"/>
        <v>5003.5574999999999</v>
      </c>
      <c r="M15" s="550">
        <f t="shared" si="3"/>
        <v>38360.607500000006</v>
      </c>
      <c r="N15" s="551">
        <f>NCong!J66</f>
        <v>2556.4500000000003</v>
      </c>
    </row>
    <row r="16" spans="1:14" s="566" customFormat="1" ht="30" customHeight="1">
      <c r="A16" s="560" t="str">
        <f>NCong!A75</f>
        <v>28</v>
      </c>
      <c r="B16" s="561" t="str">
        <f>NCong!B75</f>
        <v>Chuyển Giấy chứng nhận đến Bộ phận một cửa để trao cho người sử dụng đất hoặc chuyển Giấy chứng nhận cho người sử dụng đất thông qua dịch vụ bưu chính công ích</v>
      </c>
      <c r="C16" s="562" t="str">
        <f>NCong!C75</f>
        <v>Hồ sơ</v>
      </c>
      <c r="D16" s="563"/>
      <c r="E16" s="564" t="e">
        <f>E17+E20+E21</f>
        <v>#REF!</v>
      </c>
      <c r="F16" s="564"/>
      <c r="G16" s="564"/>
      <c r="H16" s="564"/>
      <c r="I16" s="564"/>
      <c r="J16" s="564"/>
      <c r="K16" s="564" t="e">
        <f t="shared" si="2"/>
        <v>#REF!</v>
      </c>
      <c r="L16" s="564" t="e">
        <f t="shared" si="1"/>
        <v>#REF!</v>
      </c>
      <c r="M16" s="564" t="e">
        <f t="shared" si="3"/>
        <v>#REF!</v>
      </c>
      <c r="N16" s="565">
        <f>NCong!J75</f>
        <v>1278.2250000000001</v>
      </c>
    </row>
    <row r="17" spans="1:14" s="566" customFormat="1" ht="43.5" customHeight="1">
      <c r="A17" s="567" t="str">
        <f>NCong!A76</f>
        <v>29</v>
      </c>
      <c r="B17" s="568" t="str">
        <f>NCong!B76</f>
        <v>Chuyển hồ sơ kèm theo bản sao Giấy chứng nhận đã cấp đến Văn phòng đăng ký đất đai để cập nhật, chỉnh lý hồ sơ địa chính, cơ sở dữ liệu đất đai.</v>
      </c>
      <c r="C17" s="562" t="str">
        <f>NCong!C76</f>
        <v>Hồ sơ</v>
      </c>
      <c r="D17" s="563"/>
      <c r="E17" s="564" t="e">
        <f>SUM(E18:E19)</f>
        <v>#REF!</v>
      </c>
      <c r="F17" s="564"/>
      <c r="G17" s="564"/>
      <c r="H17" s="564"/>
      <c r="I17" s="564"/>
      <c r="J17" s="564"/>
      <c r="K17" s="564" t="e">
        <f t="shared" si="2"/>
        <v>#REF!</v>
      </c>
      <c r="L17" s="564" t="e">
        <f t="shared" si="1"/>
        <v>#REF!</v>
      </c>
      <c r="M17" s="564" t="e">
        <f t="shared" si="3"/>
        <v>#REF!</v>
      </c>
      <c r="N17" s="565">
        <f>NCong!J76</f>
        <v>1278.2250000000001</v>
      </c>
    </row>
    <row r="18" spans="1:14" s="566" customFormat="1" ht="30" customHeight="1">
      <c r="A18" s="560" t="str">
        <f>NCong!A77</f>
        <v>30</v>
      </c>
      <c r="B18" s="561" t="str">
        <f>NCong!B77</f>
        <v>Nhận hồ sơ địa chính từ cấp tỉnh gửi về (01 bộ)</v>
      </c>
      <c r="C18" s="562" t="str">
        <f>NCong!C77</f>
        <v>Bộ/xã, phường</v>
      </c>
      <c r="D18" s="563"/>
      <c r="E18" s="564">
        <f>NCong!I77</f>
        <v>474.83280000000002</v>
      </c>
      <c r="F18" s="564"/>
      <c r="G18" s="564"/>
      <c r="H18" s="564"/>
      <c r="I18" s="564"/>
      <c r="J18" s="564"/>
      <c r="K18" s="564">
        <f t="shared" si="2"/>
        <v>474.83280000000002</v>
      </c>
      <c r="L18" s="564">
        <f t="shared" si="1"/>
        <v>71.224919999999997</v>
      </c>
      <c r="M18" s="564">
        <f t="shared" si="3"/>
        <v>546.05772000000002</v>
      </c>
      <c r="N18" s="565">
        <f>NCong!J77</f>
        <v>818064</v>
      </c>
    </row>
    <row r="19" spans="1:14" s="566" customFormat="1" ht="30" customHeight="1">
      <c r="A19" s="560" t="e">
        <f>NCong!#REF!</f>
        <v>#REF!</v>
      </c>
      <c r="B19" s="561" t="e">
        <f>NCong!#REF!</f>
        <v>#REF!</v>
      </c>
      <c r="C19" s="562" t="e">
        <f>NCong!#REF!</f>
        <v>#REF!</v>
      </c>
      <c r="D19" s="563"/>
      <c r="E19" s="564" t="e">
        <f>NCong!#REF!</f>
        <v>#REF!</v>
      </c>
      <c r="F19" s="564"/>
      <c r="G19" s="564"/>
      <c r="H19" s="564"/>
      <c r="I19" s="564"/>
      <c r="J19" s="564"/>
      <c r="K19" s="564" t="e">
        <f t="shared" si="2"/>
        <v>#REF!</v>
      </c>
      <c r="L19" s="564" t="e">
        <f t="shared" si="1"/>
        <v>#REF!</v>
      </c>
      <c r="M19" s="564" t="e">
        <f t="shared" si="3"/>
        <v>#REF!</v>
      </c>
      <c r="N19" s="565" t="e">
        <f>NCong!#REF!</f>
        <v>#REF!</v>
      </c>
    </row>
    <row r="20" spans="1:14" s="566" customFormat="1" ht="43.5" customHeight="1">
      <c r="A20" s="567" t="e">
        <f>NCong!#REF!</f>
        <v>#REF!</v>
      </c>
      <c r="B20" s="568" t="e">
        <f>NCong!#REF!</f>
        <v>#REF!</v>
      </c>
      <c r="C20" s="562" t="e">
        <f>NCong!#REF!</f>
        <v>#REF!</v>
      </c>
      <c r="D20" s="563"/>
      <c r="E20" s="564" t="e">
        <f>NCong!#REF!</f>
        <v>#REF!</v>
      </c>
      <c r="F20" s="564"/>
      <c r="G20" s="564"/>
      <c r="H20" s="564"/>
      <c r="I20" s="564"/>
      <c r="J20" s="564"/>
      <c r="K20" s="564" t="e">
        <f t="shared" si="2"/>
        <v>#REF!</v>
      </c>
      <c r="L20" s="564" t="e">
        <f t="shared" si="1"/>
        <v>#REF!</v>
      </c>
      <c r="M20" s="564" t="e">
        <f t="shared" si="3"/>
        <v>#REF!</v>
      </c>
      <c r="N20" s="565" t="e">
        <f>NCong!#REF!</f>
        <v>#REF!</v>
      </c>
    </row>
    <row r="21" spans="1:14" s="566" customFormat="1" ht="39" customHeight="1">
      <c r="A21" s="567" t="e">
        <f>NCong!#REF!</f>
        <v>#REF!</v>
      </c>
      <c r="B21" s="568" t="e">
        <f>NCong!#REF!</f>
        <v>#REF!</v>
      </c>
      <c r="C21" s="562" t="e">
        <f>NCong!#REF!</f>
        <v>#REF!</v>
      </c>
      <c r="D21" s="563"/>
      <c r="E21" s="564" t="e">
        <f>NCong!#REF!</f>
        <v>#REF!</v>
      </c>
      <c r="F21" s="564"/>
      <c r="G21" s="564"/>
      <c r="H21" s="564"/>
      <c r="I21" s="564"/>
      <c r="J21" s="564"/>
      <c r="K21" s="564" t="e">
        <f t="shared" si="2"/>
        <v>#REF!</v>
      </c>
      <c r="L21" s="564" t="e">
        <f t="shared" si="1"/>
        <v>#REF!</v>
      </c>
      <c r="M21" s="564" t="e">
        <f t="shared" si="3"/>
        <v>#REF!</v>
      </c>
      <c r="N21" s="565" t="e">
        <f>NCong!#REF!</f>
        <v>#REF!</v>
      </c>
    </row>
    <row r="22" spans="1:14" s="534" customFormat="1" ht="41.25" customHeight="1">
      <c r="A22" s="539" t="str">
        <f>NCong!A78</f>
        <v>I.2</v>
      </c>
      <c r="B22" s="545" t="str">
        <f>NCong!B78</f>
        <v>CÁC NỘI DUNG THỰC HIỆN TẠI ĐỊA BÀN CẤP TỈNH</v>
      </c>
      <c r="C22" s="569"/>
      <c r="D22" s="540"/>
      <c r="E22" s="570">
        <f>NCong!I78</f>
        <v>27768.965737500002</v>
      </c>
      <c r="F22" s="570"/>
      <c r="G22" s="570">
        <f>Dcu!L20</f>
        <v>806.91436139743598</v>
      </c>
      <c r="H22" s="570"/>
      <c r="I22" s="570"/>
      <c r="J22" s="570">
        <f>Dcu!L16</f>
        <v>266.69192550000002</v>
      </c>
      <c r="K22" s="570">
        <f t="shared" si="2"/>
        <v>28842.572024397439</v>
      </c>
      <c r="L22" s="570">
        <f t="shared" si="1"/>
        <v>4326.3858036596157</v>
      </c>
      <c r="M22" s="570">
        <f t="shared" si="3"/>
        <v>33168.957828057057</v>
      </c>
      <c r="N22" s="571">
        <f>NCong!J78</f>
        <v>4192.5780000000004</v>
      </c>
    </row>
    <row r="23" spans="1:14" s="534" customFormat="1" ht="27" customHeight="1">
      <c r="A23" s="578"/>
      <c r="B23" s="579" t="s">
        <v>258</v>
      </c>
      <c r="C23" s="569"/>
      <c r="D23" s="580"/>
      <c r="E23" s="570"/>
      <c r="F23" s="570"/>
      <c r="G23" s="570"/>
      <c r="H23" s="570"/>
      <c r="I23" s="570"/>
      <c r="J23" s="570"/>
      <c r="K23" s="570">
        <f t="shared" si="2"/>
        <v>0</v>
      </c>
      <c r="L23" s="570">
        <f t="shared" si="1"/>
        <v>0</v>
      </c>
      <c r="M23" s="570">
        <f t="shared" si="3"/>
        <v>0</v>
      </c>
      <c r="N23" s="571"/>
    </row>
    <row r="24" spans="1:14" ht="54.95" customHeight="1">
      <c r="A24" s="1842" t="str">
        <f>NCong!A87</f>
        <v>1</v>
      </c>
      <c r="B24" s="1813" t="str">
        <f>NCong!B87</f>
        <v>(1) Định mức trên đây tính cho các công việc đăng ký, cấp GCN đối với quyền sử dụng đất. Trường hợp đăng ký, cấp GCN đối với cả đất và tài sản gắn liền với đất thì định mức tính cho 1 hồ sơ đăng ký cả đất và tài sản bằng 1,6 lần định mức lao động cho 1 hồ sơ đăng ký đối với đất quy định tại Bảng này</v>
      </c>
      <c r="C24" s="1845" t="str">
        <f t="shared" ref="C24:D26" si="4">C5</f>
        <v>Hồ sơ</v>
      </c>
      <c r="D24" s="572">
        <f t="shared" si="4"/>
        <v>1</v>
      </c>
      <c r="E24" s="550" t="e">
        <f t="shared" ref="E24:J26" si="5">E5*1.6</f>
        <v>#REF!</v>
      </c>
      <c r="F24" s="550">
        <f t="shared" si="5"/>
        <v>73424.153846153858</v>
      </c>
      <c r="G24" s="550">
        <f t="shared" si="5"/>
        <v>15392.683525380517</v>
      </c>
      <c r="H24" s="550">
        <f t="shared" si="5"/>
        <v>52801.600000000006</v>
      </c>
      <c r="I24" s="550" t="e">
        <f t="shared" si="5"/>
        <v>#REF!</v>
      </c>
      <c r="J24" s="550" t="e">
        <f t="shared" si="5"/>
        <v>#REF!</v>
      </c>
      <c r="K24" s="550" t="e">
        <f t="shared" si="2"/>
        <v>#REF!</v>
      </c>
      <c r="L24" s="550" t="e">
        <f t="shared" si="1"/>
        <v>#REF!</v>
      </c>
      <c r="M24" s="550" t="e">
        <f t="shared" si="3"/>
        <v>#REF!</v>
      </c>
      <c r="N24" s="551" t="e">
        <f>N5*1.6</f>
        <v>#REF!</v>
      </c>
    </row>
    <row r="25" spans="1:14" ht="54.95" customHeight="1">
      <c r="A25" s="1842"/>
      <c r="B25" s="1813"/>
      <c r="C25" s="1845">
        <f t="shared" si="4"/>
        <v>0</v>
      </c>
      <c r="D25" s="572">
        <f t="shared" si="4"/>
        <v>2</v>
      </c>
      <c r="E25" s="550" t="e">
        <f t="shared" si="5"/>
        <v>#REF!</v>
      </c>
      <c r="F25" s="550">
        <f t="shared" si="5"/>
        <v>87978</v>
      </c>
      <c r="G25" s="550">
        <f t="shared" si="5"/>
        <v>16959.530252841028</v>
      </c>
      <c r="H25" s="550">
        <f t="shared" si="5"/>
        <v>52801.600000000006</v>
      </c>
      <c r="I25" s="550" t="e">
        <f t="shared" si="5"/>
        <v>#REF!</v>
      </c>
      <c r="J25" s="550" t="e">
        <f t="shared" si="5"/>
        <v>#REF!</v>
      </c>
      <c r="K25" s="550" t="e">
        <f t="shared" si="2"/>
        <v>#REF!</v>
      </c>
      <c r="L25" s="550" t="e">
        <f t="shared" si="1"/>
        <v>#REF!</v>
      </c>
      <c r="M25" s="550" t="e">
        <f t="shared" si="3"/>
        <v>#REF!</v>
      </c>
      <c r="N25" s="551" t="e">
        <f>N6*1.6</f>
        <v>#REF!</v>
      </c>
    </row>
    <row r="26" spans="1:14" ht="54.95" customHeight="1">
      <c r="A26" s="1842"/>
      <c r="B26" s="1813"/>
      <c r="C26" s="1845">
        <f t="shared" si="4"/>
        <v>0</v>
      </c>
      <c r="D26" s="572">
        <f t="shared" si="4"/>
        <v>3</v>
      </c>
      <c r="E26" s="550" t="e">
        <f t="shared" si="5"/>
        <v>#REF!</v>
      </c>
      <c r="F26" s="550">
        <f t="shared" si="5"/>
        <v>105442.6153846154</v>
      </c>
      <c r="G26" s="550">
        <f t="shared" si="5"/>
        <v>18526.376980301542</v>
      </c>
      <c r="H26" s="550">
        <f t="shared" si="5"/>
        <v>52801.600000000006</v>
      </c>
      <c r="I26" s="550" t="e">
        <f t="shared" si="5"/>
        <v>#REF!</v>
      </c>
      <c r="J26" s="550" t="e">
        <f t="shared" si="5"/>
        <v>#REF!</v>
      </c>
      <c r="K26" s="550" t="e">
        <f t="shared" si="2"/>
        <v>#REF!</v>
      </c>
      <c r="L26" s="550" t="e">
        <f t="shared" si="1"/>
        <v>#REF!</v>
      </c>
      <c r="M26" s="550" t="e">
        <f t="shared" si="3"/>
        <v>#REF!</v>
      </c>
      <c r="N26" s="551" t="e">
        <f>N7*1.6</f>
        <v>#REF!</v>
      </c>
    </row>
    <row r="27" spans="1:14" ht="45" customHeight="1">
      <c r="A27" s="1842" t="str">
        <f>NCong!A88</f>
        <v>2</v>
      </c>
      <c r="B27" s="1813" t="str">
        <f>NCong!B88</f>
        <v>(2) Trường hợp nhiều thửa đất nông nghiệp lập chung trong 1 hồ sơ và cấp chung trong một GCN thì ngoài mức được tính ở trên, mỗi thửa đất tăng thêm được tính mức bằng 0,30 lần định mức quy định đối với Mục 2, 3, 4, 5, 6, 7, 10, 11, 12, 13, 15, 16, 17, 18, 19, 20, 21, 24, 25, 26, 27 và 30 các nội dung thực hiện tại địa bàn xã, phường; Mục 1, 2 các nội dung thực hiện tại cấp tỉnh của Bảng này.</v>
      </c>
      <c r="C27" s="1845" t="str">
        <f t="shared" ref="C27:D29" si="6">C5</f>
        <v>Hồ sơ</v>
      </c>
      <c r="D27" s="572">
        <f t="shared" si="6"/>
        <v>1</v>
      </c>
      <c r="E27" s="550">
        <f>0.3*SUM(NCong!I$23,NCong!I$24,NCong!I26,NCong!I$34,NCong!I$36,NCong!I$37,NCong!I$39,NCong!I$41,NCong!I$46,NCong!I$52,NCong!I$54,NCong!I$65,NCong!I$79,NCong!I$82)</f>
        <v>690667.39038201922</v>
      </c>
      <c r="F27" s="550">
        <f>0.3*NCong!H27</f>
        <v>78027.3</v>
      </c>
      <c r="G27" s="550">
        <f>Dcu!H27+Dcu!K27</f>
        <v>0.3</v>
      </c>
      <c r="H27" s="550">
        <f>Tbi!I$25+Tbi!I$26</f>
        <v>6693.6062000000002</v>
      </c>
      <c r="I27" s="550" t="e">
        <f t="shared" ref="I27:J29" si="7">I8*0.2+I$11*0.3</f>
        <v>#REF!</v>
      </c>
      <c r="J27" s="550" t="e">
        <f t="shared" si="7"/>
        <v>#REF!</v>
      </c>
      <c r="K27" s="550" t="e">
        <f t="shared" si="2"/>
        <v>#REF!</v>
      </c>
      <c r="L27" s="550" t="e">
        <f t="shared" si="1"/>
        <v>#REF!</v>
      </c>
      <c r="M27" s="550" t="e">
        <f t="shared" si="3"/>
        <v>#REF!</v>
      </c>
      <c r="N27" s="551">
        <f>0.3*SUM(NCong!J$23,NCong!J$24,NCong!J26,NCong!J$34,NCong!J$36,NCong!J$37,NCong!J$39,NCong!J$41,NCong!J$46,NCong!J$52,NCong!J$54,NCong!J$65,NCong!J$79,NCong!J$82)</f>
        <v>64054.411199999995</v>
      </c>
    </row>
    <row r="28" spans="1:14" ht="45" customHeight="1">
      <c r="A28" s="1842"/>
      <c r="B28" s="1813"/>
      <c r="C28" s="1845">
        <f t="shared" si="6"/>
        <v>0</v>
      </c>
      <c r="D28" s="572">
        <f t="shared" si="6"/>
        <v>2</v>
      </c>
      <c r="E28" s="550">
        <f>0.3*SUM(NCong!I$23,NCong!I$24,NCong!I28,NCong!I$34,NCong!I$36,NCong!I$37,NCong!I$39,NCong!I$41,NCong!I$46,NCong!I$52,NCong!I$54,NCong!I$65,NCong!I$79,NCong!I$82)</f>
        <v>690043.17198201909</v>
      </c>
      <c r="F28" s="550">
        <f>0.3*NCong!H29</f>
        <v>89031.15</v>
      </c>
      <c r="G28" s="550">
        <f>Dcu!H28+Dcu!K28</f>
        <v>0.3</v>
      </c>
      <c r="H28" s="550">
        <f>Tbi!I$25+Tbi!I$26</f>
        <v>6693.6062000000002</v>
      </c>
      <c r="I28" s="550" t="e">
        <f t="shared" si="7"/>
        <v>#REF!</v>
      </c>
      <c r="J28" s="550" t="e">
        <f t="shared" si="7"/>
        <v>#REF!</v>
      </c>
      <c r="K28" s="550" t="e">
        <f t="shared" si="2"/>
        <v>#REF!</v>
      </c>
      <c r="L28" s="550" t="e">
        <f t="shared" si="1"/>
        <v>#REF!</v>
      </c>
      <c r="M28" s="550" t="e">
        <f t="shared" si="3"/>
        <v>#REF!</v>
      </c>
      <c r="N28" s="551">
        <f>0.3*SUM(NCong!J$23,NCong!J$24,NCong!J27,NCong!J$34,NCong!J$36,NCong!J$37,NCong!J$39,NCong!J$41,NCong!J$46,NCong!J$52,NCong!J$54,NCong!J$65,NCong!J$79,NCong!J$82)</f>
        <v>63993.056400000001</v>
      </c>
    </row>
    <row r="29" spans="1:14" ht="45" customHeight="1">
      <c r="A29" s="1842"/>
      <c r="B29" s="1813"/>
      <c r="C29" s="1845">
        <f t="shared" si="6"/>
        <v>0</v>
      </c>
      <c r="D29" s="572">
        <f t="shared" si="6"/>
        <v>3</v>
      </c>
      <c r="E29" s="550">
        <f>0.3*SUM(NCong!I$23,NCong!I$24,NCong!I30,NCong!I$34,NCong!I$36,NCong!I$37,NCong!I$39,NCong!I$41,NCong!I$46,NCong!I$52,NCong!I$54,NCong!I$65,NCong!I$79,NCong!I$82)</f>
        <v>697165.66398201918</v>
      </c>
      <c r="F29" s="550">
        <f>0.3*NCong!H31</f>
        <v>171059.85</v>
      </c>
      <c r="G29" s="550">
        <f>Dcu!H29+Dcu!K29</f>
        <v>0.3</v>
      </c>
      <c r="H29" s="550">
        <f>Tbi!I$25+Tbi!I$26</f>
        <v>6693.6062000000002</v>
      </c>
      <c r="I29" s="550" t="e">
        <f t="shared" si="7"/>
        <v>#REF!</v>
      </c>
      <c r="J29" s="550" t="e">
        <f t="shared" si="7"/>
        <v>#REF!</v>
      </c>
      <c r="K29" s="550" t="e">
        <f t="shared" si="2"/>
        <v>#REF!</v>
      </c>
      <c r="L29" s="550" t="e">
        <f t="shared" si="1"/>
        <v>#REF!</v>
      </c>
      <c r="M29" s="550" t="e">
        <f t="shared" si="3"/>
        <v>#REF!</v>
      </c>
      <c r="N29" s="551">
        <f>0.3*SUM(NCong!J$23,NCong!J$24,NCong!J28,NCong!J$34,NCong!J$36,NCong!J$37,NCong!J$39,NCong!J$41,NCong!J$46,NCong!J$52,NCong!J$54,NCong!J$65,NCong!J$79,NCong!J$82)</f>
        <v>63993.056400000001</v>
      </c>
    </row>
    <row r="30" spans="1:14" ht="35.1" customHeight="1">
      <c r="A30" s="1842" t="str">
        <f>NCong!A89</f>
        <v>3</v>
      </c>
      <c r="B30" s="1813" t="str">
        <f>NCong!B89</f>
        <v>(3) Đối với các hồ sơ không có nhu cầu hoặc không đủ điều kiện cấp GCN thì được tính định mức đối với Mục 1, 2, 3, 4, 5, 6, 7, 10, 11, 13, 16 và 17 các nội dung thực hiện tại địa bàn xã, phường; Mục 1, 2, 3 các nội dung thực hiện tại địa bàn cấp tỉnh của Bảng 6</v>
      </c>
      <c r="C30" s="1845" t="str">
        <f t="shared" ref="C30:D32" si="8">C5</f>
        <v>Hồ sơ</v>
      </c>
      <c r="D30" s="572">
        <f t="shared" si="8"/>
        <v>1</v>
      </c>
      <c r="E30" s="550" t="e">
        <f>(E5-NCong!I$43-NCong!I$44-NCong!I$59-NCong!I$62-NCong!I$67-NCong!I$70-NCong!#REF!)</f>
        <v>#REF!</v>
      </c>
      <c r="F30" s="550">
        <f>F5</f>
        <v>45890.096153846156</v>
      </c>
      <c r="G30" s="581"/>
      <c r="H30" s="581"/>
      <c r="I30" s="581"/>
      <c r="J30" s="581"/>
      <c r="K30" s="550" t="e">
        <f t="shared" si="2"/>
        <v>#REF!</v>
      </c>
      <c r="L30" s="550" t="e">
        <f t="shared" si="1"/>
        <v>#REF!</v>
      </c>
      <c r="M30" s="550" t="e">
        <f t="shared" si="3"/>
        <v>#REF!</v>
      </c>
      <c r="N30" s="551" t="e">
        <f>(N5-NCong!J$43-NCong!J$44-NCong!J$59-NCong!J$62-NCong!J$67-NCong!J$70-NCong!#REF!)</f>
        <v>#REF!</v>
      </c>
    </row>
    <row r="31" spans="1:14" ht="35.1" customHeight="1">
      <c r="A31" s="1842"/>
      <c r="B31" s="1813"/>
      <c r="C31" s="1845">
        <f t="shared" si="8"/>
        <v>0</v>
      </c>
      <c r="D31" s="572">
        <f t="shared" si="8"/>
        <v>2</v>
      </c>
      <c r="E31" s="550" t="e">
        <f>(E6-NCong!I$43-NCong!I$44-NCong!I$59-NCong!I$62-NCong!I$67-NCong!I$70-NCong!#REF!)</f>
        <v>#REF!</v>
      </c>
      <c r="F31" s="550">
        <f>F6</f>
        <v>54986.25</v>
      </c>
      <c r="G31" s="581"/>
      <c r="H31" s="581"/>
      <c r="I31" s="581"/>
      <c r="J31" s="581"/>
      <c r="K31" s="550" t="e">
        <f t="shared" si="2"/>
        <v>#REF!</v>
      </c>
      <c r="L31" s="550" t="e">
        <f t="shared" si="1"/>
        <v>#REF!</v>
      </c>
      <c r="M31" s="550" t="e">
        <f t="shared" si="3"/>
        <v>#REF!</v>
      </c>
      <c r="N31" s="551" t="e">
        <f>(N6-NCong!J$43-NCong!J$44-NCong!J$59-NCong!J$62-NCong!J$67-NCong!J$70-NCong!#REF!)</f>
        <v>#REF!</v>
      </c>
    </row>
    <row r="32" spans="1:14" ht="35.1" customHeight="1">
      <c r="A32" s="1842"/>
      <c r="B32" s="1813"/>
      <c r="C32" s="1845">
        <f t="shared" si="8"/>
        <v>0</v>
      </c>
      <c r="D32" s="572">
        <f t="shared" si="8"/>
        <v>3</v>
      </c>
      <c r="E32" s="550" t="e">
        <f>(E7-NCong!I$43-NCong!I$44-NCong!I$59-NCong!I$62-NCong!I$67-NCong!I$70-NCong!#REF!)</f>
        <v>#REF!</v>
      </c>
      <c r="F32" s="550">
        <f>F7</f>
        <v>65901.634615384624</v>
      </c>
      <c r="G32" s="581"/>
      <c r="H32" s="581"/>
      <c r="I32" s="581"/>
      <c r="J32" s="581"/>
      <c r="K32" s="550" t="e">
        <f t="shared" si="2"/>
        <v>#REF!</v>
      </c>
      <c r="L32" s="550" t="e">
        <f t="shared" si="1"/>
        <v>#REF!</v>
      </c>
      <c r="M32" s="550" t="e">
        <f t="shared" si="3"/>
        <v>#REF!</v>
      </c>
      <c r="N32" s="551" t="e">
        <f>(N7-NCong!J$43-NCong!J$44-NCong!J$59-NCong!J$62-NCong!J$67-NCong!J$70-NCong!#REF!)</f>
        <v>#REF!</v>
      </c>
    </row>
    <row r="33" spans="1:14" ht="39.950000000000003" customHeight="1">
      <c r="A33" s="1842" t="e">
        <f>NCong!#REF!</f>
        <v>#REF!</v>
      </c>
      <c r="B33" s="1813" t="e">
        <f>NCong!#REF!</f>
        <v>#REF!</v>
      </c>
      <c r="C33" s="1845" t="str">
        <f t="shared" ref="C33:D35" si="9">C5</f>
        <v>Hồ sơ</v>
      </c>
      <c r="D33" s="572">
        <f t="shared" si="9"/>
        <v>1</v>
      </c>
      <c r="E33" s="550" t="e">
        <f t="shared" ref="E33:J35" si="10">E5*0.5</f>
        <v>#REF!</v>
      </c>
      <c r="F33" s="550">
        <f t="shared" si="10"/>
        <v>22945.048076923078</v>
      </c>
      <c r="G33" s="550">
        <f t="shared" si="10"/>
        <v>4810.2136016814111</v>
      </c>
      <c r="H33" s="550">
        <f t="shared" si="10"/>
        <v>16500.5</v>
      </c>
      <c r="I33" s="550" t="e">
        <f t="shared" si="10"/>
        <v>#REF!</v>
      </c>
      <c r="J33" s="550" t="e">
        <f t="shared" si="10"/>
        <v>#REF!</v>
      </c>
      <c r="K33" s="550" t="e">
        <f t="shared" si="2"/>
        <v>#REF!</v>
      </c>
      <c r="L33" s="550" t="e">
        <f t="shared" si="1"/>
        <v>#REF!</v>
      </c>
      <c r="M33" s="550" t="e">
        <f t="shared" si="3"/>
        <v>#REF!</v>
      </c>
      <c r="N33" s="551" t="e">
        <f>N5*0.5</f>
        <v>#REF!</v>
      </c>
    </row>
    <row r="34" spans="1:14" ht="39.950000000000003" customHeight="1">
      <c r="A34" s="1842"/>
      <c r="B34" s="1813"/>
      <c r="C34" s="1845">
        <f t="shared" si="9"/>
        <v>0</v>
      </c>
      <c r="D34" s="572">
        <f t="shared" si="9"/>
        <v>2</v>
      </c>
      <c r="E34" s="550" t="e">
        <f t="shared" si="10"/>
        <v>#REF!</v>
      </c>
      <c r="F34" s="550">
        <f t="shared" si="10"/>
        <v>27493.125</v>
      </c>
      <c r="G34" s="550">
        <f t="shared" si="10"/>
        <v>5299.8532040128212</v>
      </c>
      <c r="H34" s="550">
        <f t="shared" si="10"/>
        <v>16500.5</v>
      </c>
      <c r="I34" s="550" t="e">
        <f t="shared" si="10"/>
        <v>#REF!</v>
      </c>
      <c r="J34" s="550" t="e">
        <f t="shared" si="10"/>
        <v>#REF!</v>
      </c>
      <c r="K34" s="550" t="e">
        <f t="shared" si="2"/>
        <v>#REF!</v>
      </c>
      <c r="L34" s="550" t="e">
        <f t="shared" si="1"/>
        <v>#REF!</v>
      </c>
      <c r="M34" s="550" t="e">
        <f t="shared" si="3"/>
        <v>#REF!</v>
      </c>
      <c r="N34" s="551" t="e">
        <f>N6*0.5</f>
        <v>#REF!</v>
      </c>
    </row>
    <row r="35" spans="1:14" ht="39.950000000000003" customHeight="1">
      <c r="A35" s="1842"/>
      <c r="B35" s="1813"/>
      <c r="C35" s="1845">
        <f t="shared" si="9"/>
        <v>0</v>
      </c>
      <c r="D35" s="572">
        <f t="shared" si="9"/>
        <v>3</v>
      </c>
      <c r="E35" s="550" t="e">
        <f t="shared" si="10"/>
        <v>#REF!</v>
      </c>
      <c r="F35" s="550">
        <f t="shared" si="10"/>
        <v>32950.817307692312</v>
      </c>
      <c r="G35" s="550">
        <f t="shared" si="10"/>
        <v>5789.4928063442321</v>
      </c>
      <c r="H35" s="550">
        <f t="shared" si="10"/>
        <v>16500.5</v>
      </c>
      <c r="I35" s="550" t="e">
        <f t="shared" si="10"/>
        <v>#REF!</v>
      </c>
      <c r="J35" s="550" t="e">
        <f t="shared" si="10"/>
        <v>#REF!</v>
      </c>
      <c r="K35" s="550" t="e">
        <f t="shared" si="2"/>
        <v>#REF!</v>
      </c>
      <c r="L35" s="550" t="e">
        <f t="shared" si="1"/>
        <v>#REF!</v>
      </c>
      <c r="M35" s="550" t="e">
        <f t="shared" si="3"/>
        <v>#REF!</v>
      </c>
      <c r="N35" s="551" t="e">
        <f>N7*0.5</f>
        <v>#REF!</v>
      </c>
    </row>
    <row r="36" spans="1:14" ht="39.950000000000003" customHeight="1">
      <c r="A36" s="1842" t="e">
        <f>NCong!#REF!</f>
        <v>#REF!</v>
      </c>
      <c r="B36" s="1813" t="e">
        <f>NCong!#REF!</f>
        <v>#REF!</v>
      </c>
      <c r="C36" s="1845" t="str">
        <f t="shared" ref="C36:D38" si="11">C5</f>
        <v>Hồ sơ</v>
      </c>
      <c r="D36" s="572">
        <f t="shared" si="11"/>
        <v>1</v>
      </c>
      <c r="E36" s="550" t="e">
        <f t="shared" ref="E36:J38" si="12">E5*0.9</f>
        <v>#REF!</v>
      </c>
      <c r="F36" s="550">
        <f t="shared" si="12"/>
        <v>41301.086538461539</v>
      </c>
      <c r="G36" s="550">
        <f t="shared" si="12"/>
        <v>8658.3844830265407</v>
      </c>
      <c r="H36" s="550">
        <f t="shared" si="12"/>
        <v>29700.9</v>
      </c>
      <c r="I36" s="550" t="e">
        <f t="shared" si="12"/>
        <v>#REF!</v>
      </c>
      <c r="J36" s="550" t="e">
        <f t="shared" si="12"/>
        <v>#REF!</v>
      </c>
      <c r="K36" s="550" t="e">
        <f t="shared" si="2"/>
        <v>#REF!</v>
      </c>
      <c r="L36" s="550" t="e">
        <f t="shared" si="1"/>
        <v>#REF!</v>
      </c>
      <c r="M36" s="550" t="e">
        <f t="shared" si="3"/>
        <v>#REF!</v>
      </c>
      <c r="N36" s="551" t="e">
        <f>N5*0.9</f>
        <v>#REF!</v>
      </c>
    </row>
    <row r="37" spans="1:14" ht="39.950000000000003" customHeight="1">
      <c r="A37" s="1842"/>
      <c r="B37" s="1813"/>
      <c r="C37" s="1845">
        <f t="shared" si="11"/>
        <v>0</v>
      </c>
      <c r="D37" s="572">
        <f t="shared" si="11"/>
        <v>2</v>
      </c>
      <c r="E37" s="550" t="e">
        <f t="shared" si="12"/>
        <v>#REF!</v>
      </c>
      <c r="F37" s="550">
        <f t="shared" si="12"/>
        <v>49487.625</v>
      </c>
      <c r="G37" s="550">
        <f t="shared" si="12"/>
        <v>9539.7357672230792</v>
      </c>
      <c r="H37" s="550">
        <f t="shared" si="12"/>
        <v>29700.9</v>
      </c>
      <c r="I37" s="550" t="e">
        <f t="shared" si="12"/>
        <v>#REF!</v>
      </c>
      <c r="J37" s="550" t="e">
        <f t="shared" si="12"/>
        <v>#REF!</v>
      </c>
      <c r="K37" s="550" t="e">
        <f t="shared" si="2"/>
        <v>#REF!</v>
      </c>
      <c r="L37" s="550" t="e">
        <f t="shared" si="1"/>
        <v>#REF!</v>
      </c>
      <c r="M37" s="550" t="e">
        <f t="shared" si="3"/>
        <v>#REF!</v>
      </c>
      <c r="N37" s="551" t="e">
        <f>N6*0.9</f>
        <v>#REF!</v>
      </c>
    </row>
    <row r="38" spans="1:14" ht="39.950000000000003" customHeight="1">
      <c r="A38" s="1842"/>
      <c r="B38" s="1813"/>
      <c r="C38" s="1845">
        <f t="shared" si="11"/>
        <v>0</v>
      </c>
      <c r="D38" s="572">
        <f t="shared" si="11"/>
        <v>3</v>
      </c>
      <c r="E38" s="550" t="e">
        <f t="shared" si="12"/>
        <v>#REF!</v>
      </c>
      <c r="F38" s="550">
        <f t="shared" si="12"/>
        <v>59311.471153846163</v>
      </c>
      <c r="G38" s="550">
        <f t="shared" si="12"/>
        <v>10421.087051419618</v>
      </c>
      <c r="H38" s="550">
        <f t="shared" si="12"/>
        <v>29700.9</v>
      </c>
      <c r="I38" s="550" t="e">
        <f t="shared" si="12"/>
        <v>#REF!</v>
      </c>
      <c r="J38" s="550" t="e">
        <f t="shared" si="12"/>
        <v>#REF!</v>
      </c>
      <c r="K38" s="550" t="e">
        <f t="shared" si="2"/>
        <v>#REF!</v>
      </c>
      <c r="L38" s="550" t="e">
        <f t="shared" si="1"/>
        <v>#REF!</v>
      </c>
      <c r="M38" s="550" t="e">
        <f t="shared" si="3"/>
        <v>#REF!</v>
      </c>
      <c r="N38" s="551" t="e">
        <f>N7*0.9</f>
        <v>#REF!</v>
      </c>
    </row>
    <row r="39" spans="1:14" ht="39.950000000000003" customHeight="1">
      <c r="A39" s="1842">
        <f>NCong!A90</f>
        <v>4</v>
      </c>
      <c r="B39" s="1813" t="str">
        <f>NCong!B90</f>
        <v>(4) Trường hợp người sử dụng đất đã đăng ký đất đai theo quy định của pháp luật mà có nhu cầu và đủ điều kiện cấp GCN thì được tính định mức đối với Mục 2, 7, 12, 18, 19, 20, 21, 24, 25, 26, 27 và 30 các nội dung thực hiện tại địa bàn xã, phường; Mục 1, 2, 3 các nội dung thực hiện tại địa bàn cấp tỉnh của Bảng này</v>
      </c>
      <c r="C39" s="1845" t="str">
        <f t="shared" ref="C39:D41" si="13">C5</f>
        <v>Hồ sơ</v>
      </c>
      <c r="D39" s="572">
        <f t="shared" si="13"/>
        <v>1</v>
      </c>
      <c r="E39" s="550" t="e">
        <f>E5-NCong!I$12-NCong!I26-NCong!I$33-NCong!I$37-NCong!I$38-NCong!I$41-NCong!I$52</f>
        <v>#REF!</v>
      </c>
      <c r="F39" s="550">
        <f>F5-NCong!I27</f>
        <v>44849.732153846155</v>
      </c>
      <c r="G39" s="550"/>
      <c r="H39" s="550"/>
      <c r="I39" s="550"/>
      <c r="J39" s="550"/>
      <c r="K39" s="550" t="e">
        <f t="shared" si="2"/>
        <v>#REF!</v>
      </c>
      <c r="L39" s="550" t="e">
        <f t="shared" si="1"/>
        <v>#REF!</v>
      </c>
      <c r="M39" s="550" t="e">
        <f t="shared" si="3"/>
        <v>#REF!</v>
      </c>
      <c r="N39" s="551" t="e">
        <f>N5-NCong!J$12-NCong!J26-NCong!J$33-NCong!J$37-NCong!J$38-NCong!J$41-NCong!J$52</f>
        <v>#REF!</v>
      </c>
    </row>
    <row r="40" spans="1:14" ht="39.950000000000003" customHeight="1">
      <c r="A40" s="1842"/>
      <c r="B40" s="1813"/>
      <c r="C40" s="1845">
        <f t="shared" si="13"/>
        <v>0</v>
      </c>
      <c r="D40" s="572">
        <f t="shared" si="13"/>
        <v>2</v>
      </c>
      <c r="E40" s="550" t="e">
        <f>E6-NCong!I$12-NCong!I27-NCong!I$33-NCong!I$37-NCong!I$38-NCong!I$41-NCong!I$52</f>
        <v>#REF!</v>
      </c>
      <c r="F40" s="550">
        <f>F6-NCong!I29</f>
        <v>43115.43</v>
      </c>
      <c r="G40" s="550"/>
      <c r="H40" s="550"/>
      <c r="I40" s="550"/>
      <c r="J40" s="550"/>
      <c r="K40" s="550" t="e">
        <f t="shared" si="2"/>
        <v>#REF!</v>
      </c>
      <c r="L40" s="550" t="e">
        <f t="shared" si="1"/>
        <v>#REF!</v>
      </c>
      <c r="M40" s="550" t="e">
        <f t="shared" si="3"/>
        <v>#REF!</v>
      </c>
      <c r="N40" s="551" t="e">
        <f>N6-NCong!J$12-NCong!J27-NCong!J$33-NCong!J$37-NCong!J$38-NCong!J$41-NCong!J$52</f>
        <v>#REF!</v>
      </c>
    </row>
    <row r="41" spans="1:14" ht="39.950000000000003" customHeight="1">
      <c r="A41" s="1842"/>
      <c r="B41" s="1813"/>
      <c r="C41" s="1845">
        <f t="shared" si="13"/>
        <v>0</v>
      </c>
      <c r="D41" s="572">
        <f t="shared" si="13"/>
        <v>3</v>
      </c>
      <c r="E41" s="550" t="e">
        <f>E7-NCong!I$12-NCong!I28-NCong!I$33-NCong!I$37-NCong!I$38-NCong!I$41-NCong!I$52</f>
        <v>#REF!</v>
      </c>
      <c r="F41" s="550">
        <f>F7-NCong!I31</f>
        <v>-190688.14038461537</v>
      </c>
      <c r="G41" s="550"/>
      <c r="H41" s="550"/>
      <c r="I41" s="550"/>
      <c r="J41" s="550"/>
      <c r="K41" s="550" t="e">
        <f t="shared" si="2"/>
        <v>#REF!</v>
      </c>
      <c r="L41" s="550" t="e">
        <f t="shared" si="1"/>
        <v>#REF!</v>
      </c>
      <c r="M41" s="550" t="e">
        <f t="shared" si="3"/>
        <v>#REF!</v>
      </c>
      <c r="N41" s="551" t="e">
        <f>N7-NCong!J$12-NCong!J28-NCong!J$33-NCong!J$37-NCong!J$38-NCong!J$41-NCong!J$52</f>
        <v>#REF!</v>
      </c>
    </row>
    <row r="42" spans="1:14" ht="35.1" customHeight="1">
      <c r="A42" s="546" t="str">
        <f>NCong!A92</f>
        <v>6</v>
      </c>
      <c r="B42" s="1813" t="str">
        <f>NCong!B92</f>
        <v>(6) Đơn vị tính tại Bảng này trong trường hợp sử dụng là “Điểm” được tính trung bình cho 10 điểm/1 xã, phường,đặc khu và “Cuộc” được tính trung bình cho 10 cuộc/1 xã, phường,đặc khu</v>
      </c>
      <c r="C42" s="1813"/>
      <c r="D42" s="1813"/>
      <c r="E42" s="1813"/>
      <c r="F42" s="1813"/>
      <c r="G42" s="1813"/>
      <c r="H42" s="1813"/>
      <c r="I42" s="1813"/>
      <c r="J42" s="1813"/>
      <c r="K42" s="1813"/>
      <c r="L42" s="1813"/>
      <c r="M42" s="1813"/>
      <c r="N42" s="551"/>
    </row>
    <row r="43" spans="1:14" ht="27.75" customHeight="1">
      <c r="A43" s="546">
        <f>NCong!A93</f>
        <v>0</v>
      </c>
      <c r="B43" s="1813">
        <f>NCong!B93</f>
        <v>0</v>
      </c>
      <c r="C43" s="1813"/>
      <c r="D43" s="1813"/>
      <c r="E43" s="1813"/>
      <c r="F43" s="1813"/>
      <c r="G43" s="1813"/>
      <c r="H43" s="1813"/>
      <c r="I43" s="1813"/>
      <c r="J43" s="1813"/>
      <c r="K43" s="1813"/>
      <c r="L43" s="1813"/>
      <c r="M43" s="1813"/>
      <c r="N43" s="551"/>
    </row>
    <row r="44" spans="1:14" s="534" customFormat="1" ht="30" customHeight="1">
      <c r="A44" s="1855" t="s">
        <v>107</v>
      </c>
      <c r="B44" s="1831" t="s">
        <v>574</v>
      </c>
      <c r="C44" s="1832" t="s">
        <v>53</v>
      </c>
      <c r="D44" s="536" t="s">
        <v>34</v>
      </c>
      <c r="E44" s="537" t="e">
        <f>E48+E$52+E$62</f>
        <v>#REF!</v>
      </c>
      <c r="F44" s="537" t="e">
        <f t="shared" ref="F44:J47" si="14">F48+F$52+F$62</f>
        <v>#REF!</v>
      </c>
      <c r="G44" s="537">
        <f t="shared" si="14"/>
        <v>7933.4618910256413</v>
      </c>
      <c r="H44" s="537" t="e">
        <f t="shared" si="14"/>
        <v>#REF!</v>
      </c>
      <c r="I44" s="537" t="e">
        <f t="shared" si="14"/>
        <v>#REF!</v>
      </c>
      <c r="J44" s="537" t="e">
        <f t="shared" si="14"/>
        <v>#REF!</v>
      </c>
      <c r="K44" s="537" t="e">
        <f>SUM(E44:J44)</f>
        <v>#REF!</v>
      </c>
      <c r="L44" s="537" t="e">
        <f>$L$4*K44</f>
        <v>#REF!</v>
      </c>
      <c r="M44" s="537" t="e">
        <f>K44+L44</f>
        <v>#REF!</v>
      </c>
      <c r="N44" s="538" t="e">
        <f>N48+N$52+N$62</f>
        <v>#REF!</v>
      </c>
    </row>
    <row r="45" spans="1:14" s="534" customFormat="1" ht="30" customHeight="1">
      <c r="A45" s="1830"/>
      <c r="B45" s="1831"/>
      <c r="C45" s="1832"/>
      <c r="D45" s="536" t="s">
        <v>35</v>
      </c>
      <c r="E45" s="537" t="e">
        <f>E49+E$52+E$62</f>
        <v>#REF!</v>
      </c>
      <c r="F45" s="537" t="e">
        <f t="shared" si="14"/>
        <v>#REF!</v>
      </c>
      <c r="G45" s="537">
        <f t="shared" si="14"/>
        <v>8319.8948717948733</v>
      </c>
      <c r="H45" s="537" t="e">
        <f t="shared" si="14"/>
        <v>#REF!</v>
      </c>
      <c r="I45" s="537" t="e">
        <f t="shared" si="14"/>
        <v>#REF!</v>
      </c>
      <c r="J45" s="537" t="e">
        <f t="shared" si="14"/>
        <v>#REF!</v>
      </c>
      <c r="K45" s="537" t="e">
        <f>SUM(E45:J45)</f>
        <v>#REF!</v>
      </c>
      <c r="L45" s="537" t="e">
        <f>$L$4*K45</f>
        <v>#REF!</v>
      </c>
      <c r="M45" s="537" t="e">
        <f>K45+L45</f>
        <v>#REF!</v>
      </c>
      <c r="N45" s="538" t="e">
        <f>N49+N$52+N$62</f>
        <v>#REF!</v>
      </c>
    </row>
    <row r="46" spans="1:14" s="534" customFormat="1" ht="30" customHeight="1">
      <c r="A46" s="1830"/>
      <c r="B46" s="1831"/>
      <c r="C46" s="1832"/>
      <c r="D46" s="536" t="s">
        <v>158</v>
      </c>
      <c r="E46" s="537" t="e">
        <f>E50+E$52+E$62</f>
        <v>#REF!</v>
      </c>
      <c r="F46" s="537" t="e">
        <f t="shared" si="14"/>
        <v>#REF!</v>
      </c>
      <c r="G46" s="537">
        <f t="shared" si="14"/>
        <v>8706.3278525641035</v>
      </c>
      <c r="H46" s="537" t="e">
        <f t="shared" si="14"/>
        <v>#REF!</v>
      </c>
      <c r="I46" s="537" t="e">
        <f t="shared" si="14"/>
        <v>#REF!</v>
      </c>
      <c r="J46" s="537" t="e">
        <f t="shared" si="14"/>
        <v>#REF!</v>
      </c>
      <c r="K46" s="537" t="e">
        <f>SUM(E46:J46)</f>
        <v>#REF!</v>
      </c>
      <c r="L46" s="537" t="e">
        <f>$L$4*K46</f>
        <v>#REF!</v>
      </c>
      <c r="M46" s="537" t="e">
        <f>K46+L46</f>
        <v>#REF!</v>
      </c>
      <c r="N46" s="538" t="e">
        <f>N50+N$52+N$62</f>
        <v>#REF!</v>
      </c>
    </row>
    <row r="47" spans="1:14" s="534" customFormat="1" ht="30" customHeight="1">
      <c r="A47" s="1830"/>
      <c r="B47" s="1831"/>
      <c r="C47" s="1832"/>
      <c r="D47" s="536" t="s">
        <v>159</v>
      </c>
      <c r="E47" s="537" t="e">
        <f>E51+E$52+E$62</f>
        <v>#REF!</v>
      </c>
      <c r="F47" s="537" t="e">
        <f t="shared" si="14"/>
        <v>#REF!</v>
      </c>
      <c r="G47" s="537">
        <f t="shared" si="14"/>
        <v>9092.7608333333337</v>
      </c>
      <c r="H47" s="537" t="e">
        <f t="shared" si="14"/>
        <v>#REF!</v>
      </c>
      <c r="I47" s="537" t="e">
        <f t="shared" si="14"/>
        <v>#REF!</v>
      </c>
      <c r="J47" s="537" t="e">
        <f t="shared" si="14"/>
        <v>#REF!</v>
      </c>
      <c r="K47" s="537" t="e">
        <f>SUM(E47:J47)</f>
        <v>#REF!</v>
      </c>
      <c r="L47" s="537" t="e">
        <f>$L$4*K47</f>
        <v>#REF!</v>
      </c>
      <c r="M47" s="537" t="e">
        <f>K47+L47</f>
        <v>#REF!</v>
      </c>
      <c r="N47" s="538" t="e">
        <f>N51+N$52+N$62</f>
        <v>#REF!</v>
      </c>
    </row>
    <row r="48" spans="1:14" s="544" customFormat="1" ht="24.95" customHeight="1">
      <c r="A48" s="1833" t="e">
        <f>NCong!#REF!</f>
        <v>#REF!</v>
      </c>
      <c r="B48" s="1834" t="e">
        <f>NCong!#REF!</f>
        <v>#REF!</v>
      </c>
      <c r="C48" s="1835" t="s">
        <v>53</v>
      </c>
      <c r="D48" s="540" t="e">
        <f>NCong!#REF!</f>
        <v>#REF!</v>
      </c>
      <c r="E48" s="542" t="e">
        <f>NCong!#REF!</f>
        <v>#REF!</v>
      </c>
      <c r="F48" s="542" t="e">
        <f>NCong!#REF!</f>
        <v>#REF!</v>
      </c>
      <c r="G48" s="542">
        <f>Dcu!J62</f>
        <v>3477.8968269230772</v>
      </c>
      <c r="H48" s="542" t="e">
        <f>VLieu!#REF!</f>
        <v>#REF!</v>
      </c>
      <c r="I48" s="542" t="e">
        <f>Tbi!#REF!</f>
        <v>#REF!</v>
      </c>
      <c r="J48" s="542" t="e">
        <f>Tbi!#REF!+Dcu!J58</f>
        <v>#REF!</v>
      </c>
      <c r="K48" s="542" t="e">
        <f t="shared" ref="K48:K62" si="15">SUM(E48:J48)</f>
        <v>#REF!</v>
      </c>
      <c r="L48" s="542" t="e">
        <f t="shared" ref="L48:L62" si="16">$L$4*K48</f>
        <v>#REF!</v>
      </c>
      <c r="M48" s="542" t="e">
        <f t="shared" ref="M48:M62" si="17">K48+L48</f>
        <v>#REF!</v>
      </c>
      <c r="N48" s="543" t="e">
        <f>NCong!#REF!</f>
        <v>#REF!</v>
      </c>
    </row>
    <row r="49" spans="1:14" s="544" customFormat="1" ht="24.95" customHeight="1">
      <c r="A49" s="1833"/>
      <c r="B49" s="1834"/>
      <c r="C49" s="1835"/>
      <c r="D49" s="540" t="e">
        <f>NCong!#REF!</f>
        <v>#REF!</v>
      </c>
      <c r="E49" s="542" t="e">
        <f>NCong!#REF!</f>
        <v>#REF!</v>
      </c>
      <c r="F49" s="542" t="e">
        <f>NCong!#REF!</f>
        <v>#REF!</v>
      </c>
      <c r="G49" s="542">
        <f>Dcu!J63</f>
        <v>3864.3298076923079</v>
      </c>
      <c r="H49" s="542" t="e">
        <f>VLieu!#REF!</f>
        <v>#REF!</v>
      </c>
      <c r="I49" s="542" t="e">
        <f>Tbi!#REF!</f>
        <v>#REF!</v>
      </c>
      <c r="J49" s="542" t="e">
        <f>Tbi!#REF!+Dcu!J59</f>
        <v>#REF!</v>
      </c>
      <c r="K49" s="542" t="e">
        <f t="shared" si="15"/>
        <v>#REF!</v>
      </c>
      <c r="L49" s="542" t="e">
        <f t="shared" si="16"/>
        <v>#REF!</v>
      </c>
      <c r="M49" s="542" t="e">
        <f t="shared" si="17"/>
        <v>#REF!</v>
      </c>
      <c r="N49" s="543" t="e">
        <f>NCong!#REF!</f>
        <v>#REF!</v>
      </c>
    </row>
    <row r="50" spans="1:14" s="544" customFormat="1" ht="24.95" customHeight="1">
      <c r="A50" s="1833"/>
      <c r="B50" s="1834"/>
      <c r="C50" s="1835"/>
      <c r="D50" s="540" t="e">
        <f>NCong!#REF!</f>
        <v>#REF!</v>
      </c>
      <c r="E50" s="542" t="e">
        <f>NCong!#REF!</f>
        <v>#REF!</v>
      </c>
      <c r="F50" s="542" t="e">
        <f>NCong!#REF!</f>
        <v>#REF!</v>
      </c>
      <c r="G50" s="542">
        <f>Dcu!J64</f>
        <v>4250.7627884615395</v>
      </c>
      <c r="H50" s="542" t="e">
        <f>VLieu!#REF!</f>
        <v>#REF!</v>
      </c>
      <c r="I50" s="542" t="e">
        <f>Tbi!#REF!</f>
        <v>#REF!</v>
      </c>
      <c r="J50" s="542" t="e">
        <f>Tbi!#REF!+Dcu!J60</f>
        <v>#REF!</v>
      </c>
      <c r="K50" s="542" t="e">
        <f t="shared" si="15"/>
        <v>#REF!</v>
      </c>
      <c r="L50" s="542" t="e">
        <f t="shared" si="16"/>
        <v>#REF!</v>
      </c>
      <c r="M50" s="542" t="e">
        <f t="shared" si="17"/>
        <v>#REF!</v>
      </c>
      <c r="N50" s="543" t="e">
        <f>NCong!#REF!</f>
        <v>#REF!</v>
      </c>
    </row>
    <row r="51" spans="1:14" s="544" customFormat="1" ht="24.95" customHeight="1">
      <c r="A51" s="1833"/>
      <c r="B51" s="1834"/>
      <c r="C51" s="1835"/>
      <c r="D51" s="540" t="e">
        <f>NCong!#REF!</f>
        <v>#REF!</v>
      </c>
      <c r="E51" s="542" t="e">
        <f>NCong!#REF!</f>
        <v>#REF!</v>
      </c>
      <c r="F51" s="542" t="e">
        <f>NCong!#REF!</f>
        <v>#REF!</v>
      </c>
      <c r="G51" s="542">
        <f>Dcu!J65</f>
        <v>4637.1957692307697</v>
      </c>
      <c r="H51" s="542" t="e">
        <f>VLieu!#REF!</f>
        <v>#REF!</v>
      </c>
      <c r="I51" s="542" t="e">
        <f>Tbi!#REF!</f>
        <v>#REF!</v>
      </c>
      <c r="J51" s="542" t="e">
        <f>Tbi!#REF!+Dcu!J61</f>
        <v>#REF!</v>
      </c>
      <c r="K51" s="542" t="e">
        <f t="shared" si="15"/>
        <v>#REF!</v>
      </c>
      <c r="L51" s="542" t="e">
        <f t="shared" si="16"/>
        <v>#REF!</v>
      </c>
      <c r="M51" s="542" t="e">
        <f t="shared" si="17"/>
        <v>#REF!</v>
      </c>
      <c r="N51" s="543" t="e">
        <f>NCong!#REF!</f>
        <v>#REF!</v>
      </c>
    </row>
    <row r="52" spans="1:14" s="544" customFormat="1" ht="30" customHeight="1">
      <c r="A52" s="539" t="e">
        <f>NCong!#REF!</f>
        <v>#REF!</v>
      </c>
      <c r="B52" s="545" t="e">
        <f>NCong!#REF!</f>
        <v>#REF!</v>
      </c>
      <c r="C52" s="540" t="e">
        <f>NCong!#REF!</f>
        <v>#REF!</v>
      </c>
      <c r="D52" s="541" t="e">
        <f>NCong!#REF!</f>
        <v>#REF!</v>
      </c>
      <c r="E52" s="542" t="e">
        <f>NCong!#REF!-E54-E56-E57</f>
        <v>#REF!</v>
      </c>
      <c r="F52" s="542"/>
      <c r="G52" s="542">
        <f>Dcu!K62</f>
        <v>3806.4483974358977</v>
      </c>
      <c r="H52" s="542" t="e">
        <f>VLieu!#REF!</f>
        <v>#REF!</v>
      </c>
      <c r="I52" s="542" t="e">
        <f>Tbi!#REF!</f>
        <v>#REF!</v>
      </c>
      <c r="J52" s="542" t="e">
        <f>Tbi!#REF!+Dcu!K58</f>
        <v>#REF!</v>
      </c>
      <c r="K52" s="542" t="e">
        <f t="shared" si="15"/>
        <v>#REF!</v>
      </c>
      <c r="L52" s="542" t="e">
        <f t="shared" si="16"/>
        <v>#REF!</v>
      </c>
      <c r="M52" s="542" t="e">
        <f t="shared" si="17"/>
        <v>#REF!</v>
      </c>
      <c r="N52" s="543" t="e">
        <f>NCong!#REF!-N54-N56</f>
        <v>#REF!</v>
      </c>
    </row>
    <row r="53" spans="1:14" ht="30" customHeight="1">
      <c r="A53" s="546" t="e">
        <f>NCong!#REF!</f>
        <v>#REF!</v>
      </c>
      <c r="B53" s="559" t="e">
        <f>NCong!#REF!</f>
        <v>#REF!</v>
      </c>
      <c r="C53" s="548" t="e">
        <f>NCong!#REF!</f>
        <v>#REF!</v>
      </c>
      <c r="D53" s="548" t="e">
        <f>NCong!#REF!</f>
        <v>#REF!</v>
      </c>
      <c r="E53" s="550" t="e">
        <f>NCong!#REF!</f>
        <v>#REF!</v>
      </c>
      <c r="F53" s="550"/>
      <c r="G53" s="550"/>
      <c r="H53" s="550"/>
      <c r="I53" s="550"/>
      <c r="J53" s="550"/>
      <c r="K53" s="550"/>
      <c r="L53" s="550"/>
      <c r="M53" s="550"/>
      <c r="N53" s="551" t="e">
        <f>NCong!#REF!</f>
        <v>#REF!</v>
      </c>
    </row>
    <row r="54" spans="1:14" s="558" customFormat="1" ht="30" customHeight="1">
      <c r="A54" s="553" t="e">
        <f>NCong!#REF!</f>
        <v>#REF!</v>
      </c>
      <c r="B54" s="574" t="e">
        <f>NCong!#REF!</f>
        <v>#REF!</v>
      </c>
      <c r="C54" s="555" t="e">
        <f>NCong!#REF!</f>
        <v>#REF!</v>
      </c>
      <c r="D54" s="548" t="e">
        <f>NCong!#REF!</f>
        <v>#REF!</v>
      </c>
      <c r="E54" s="556" t="e">
        <f>NCong!#REF!</f>
        <v>#REF!</v>
      </c>
      <c r="F54" s="556"/>
      <c r="G54" s="556"/>
      <c r="H54" s="556"/>
      <c r="I54" s="556"/>
      <c r="J54" s="556"/>
      <c r="K54" s="556"/>
      <c r="L54" s="556"/>
      <c r="M54" s="556"/>
      <c r="N54" s="557" t="e">
        <f>NCong!#REF!</f>
        <v>#REF!</v>
      </c>
    </row>
    <row r="55" spans="1:14" s="558" customFormat="1" ht="30" customHeight="1">
      <c r="A55" s="553" t="e">
        <f>NCong!#REF!</f>
        <v>#REF!</v>
      </c>
      <c r="B55" s="574" t="e">
        <f>NCong!#REF!</f>
        <v>#REF!</v>
      </c>
      <c r="C55" s="555" t="e">
        <f>NCong!#REF!</f>
        <v>#REF!</v>
      </c>
      <c r="D55" s="548" t="e">
        <f>NCong!#REF!</f>
        <v>#REF!</v>
      </c>
      <c r="E55" s="556" t="e">
        <f>NCong!#REF!</f>
        <v>#REF!</v>
      </c>
      <c r="F55" s="556"/>
      <c r="G55" s="556"/>
      <c r="H55" s="556"/>
      <c r="I55" s="556"/>
      <c r="J55" s="556"/>
      <c r="K55" s="556"/>
      <c r="L55" s="556"/>
      <c r="M55" s="556"/>
      <c r="N55" s="557" t="e">
        <f>NCong!#REF!</f>
        <v>#REF!</v>
      </c>
    </row>
    <row r="56" spans="1:14" ht="30" customHeight="1">
      <c r="A56" s="546" t="e">
        <f>NCong!#REF!</f>
        <v>#REF!</v>
      </c>
      <c r="B56" s="559" t="e">
        <f>NCong!#REF!</f>
        <v>#REF!</v>
      </c>
      <c r="C56" s="548" t="e">
        <f>NCong!#REF!</f>
        <v>#REF!</v>
      </c>
      <c r="D56" s="548" t="e">
        <f>NCong!#REF!</f>
        <v>#REF!</v>
      </c>
      <c r="E56" s="550" t="e">
        <f>NCong!#REF!</f>
        <v>#REF!</v>
      </c>
      <c r="F56" s="550"/>
      <c r="G56" s="550">
        <f>0.003*Dcu!K62</f>
        <v>11.419345192307693</v>
      </c>
      <c r="H56" s="550"/>
      <c r="I56" s="550"/>
      <c r="J56" s="550"/>
      <c r="K56" s="550" t="e">
        <f t="shared" si="15"/>
        <v>#REF!</v>
      </c>
      <c r="L56" s="550" t="e">
        <f t="shared" si="16"/>
        <v>#REF!</v>
      </c>
      <c r="M56" s="550" t="e">
        <f t="shared" si="17"/>
        <v>#REF!</v>
      </c>
      <c r="N56" s="551" t="e">
        <f>NCong!#REF!</f>
        <v>#REF!</v>
      </c>
    </row>
    <row r="57" spans="1:14" ht="35.1" customHeight="1">
      <c r="A57" s="575" t="e">
        <f>NCong!#REF!</f>
        <v>#REF!</v>
      </c>
      <c r="B57" s="561" t="e">
        <f>NCong!#REF!</f>
        <v>#REF!</v>
      </c>
      <c r="C57" s="561" t="e">
        <f>NCong!#REF!</f>
        <v>#REF!</v>
      </c>
      <c r="D57" s="548"/>
      <c r="E57" s="576" t="e">
        <f>NCong!#REF!</f>
        <v>#REF!</v>
      </c>
      <c r="F57" s="576"/>
      <c r="G57" s="576"/>
      <c r="H57" s="576"/>
      <c r="I57" s="576"/>
      <c r="J57" s="576"/>
      <c r="K57" s="576" t="e">
        <f>SUM(E57:J57)</f>
        <v>#REF!</v>
      </c>
      <c r="L57" s="576" t="e">
        <f>$L$4*K57</f>
        <v>#REF!</v>
      </c>
      <c r="M57" s="576" t="e">
        <f>K57+L57</f>
        <v>#REF!</v>
      </c>
      <c r="N57" s="577" t="e">
        <f>NCong!#REF!</f>
        <v>#REF!</v>
      </c>
    </row>
    <row r="58" spans="1:14" ht="35.1" customHeight="1">
      <c r="A58" s="575" t="e">
        <f>NCong!#REF!</f>
        <v>#REF!</v>
      </c>
      <c r="B58" s="561" t="e">
        <f>NCong!#REF!</f>
        <v>#REF!</v>
      </c>
      <c r="C58" s="561" t="e">
        <f>NCong!#REF!</f>
        <v>#REF!</v>
      </c>
      <c r="D58" s="548"/>
      <c r="E58" s="576" t="e">
        <f>NCong!#REF!</f>
        <v>#REF!</v>
      </c>
      <c r="F58" s="576"/>
      <c r="G58" s="576"/>
      <c r="H58" s="576"/>
      <c r="I58" s="576"/>
      <c r="J58" s="576"/>
      <c r="K58" s="576" t="e">
        <f t="shared" si="15"/>
        <v>#REF!</v>
      </c>
      <c r="L58" s="576" t="e">
        <f t="shared" si="16"/>
        <v>#REF!</v>
      </c>
      <c r="M58" s="576" t="e">
        <f t="shared" si="17"/>
        <v>#REF!</v>
      </c>
      <c r="N58" s="577" t="e">
        <f>NCong!#REF!</f>
        <v>#REF!</v>
      </c>
    </row>
    <row r="59" spans="1:14" ht="35.1" customHeight="1">
      <c r="A59" s="575" t="e">
        <f>NCong!#REF!</f>
        <v>#REF!</v>
      </c>
      <c r="B59" s="561" t="e">
        <f>NCong!#REF!</f>
        <v>#REF!</v>
      </c>
      <c r="C59" s="561" t="e">
        <f>NCong!#REF!</f>
        <v>#REF!</v>
      </c>
      <c r="D59" s="548"/>
      <c r="E59" s="576" t="e">
        <f>NCong!#REF!</f>
        <v>#REF!</v>
      </c>
      <c r="F59" s="576"/>
      <c r="G59" s="576"/>
      <c r="H59" s="576"/>
      <c r="I59" s="576"/>
      <c r="J59" s="576"/>
      <c r="K59" s="576" t="e">
        <f t="shared" si="15"/>
        <v>#REF!</v>
      </c>
      <c r="L59" s="576" t="e">
        <f t="shared" si="16"/>
        <v>#REF!</v>
      </c>
      <c r="M59" s="576" t="e">
        <f t="shared" si="17"/>
        <v>#REF!</v>
      </c>
      <c r="N59" s="577" t="e">
        <f>NCong!#REF!</f>
        <v>#REF!</v>
      </c>
    </row>
    <row r="60" spans="1:14" ht="50.1" customHeight="1">
      <c r="A60" s="575" t="e">
        <f>NCong!#REF!</f>
        <v>#REF!</v>
      </c>
      <c r="B60" s="561" t="e">
        <f>NCong!#REF!</f>
        <v>#REF!</v>
      </c>
      <c r="C60" s="561" t="e">
        <f>NCong!#REF!</f>
        <v>#REF!</v>
      </c>
      <c r="D60" s="548"/>
      <c r="E60" s="576" t="e">
        <f>NCong!#REF!</f>
        <v>#REF!</v>
      </c>
      <c r="F60" s="576"/>
      <c r="G60" s="576"/>
      <c r="H60" s="576"/>
      <c r="I60" s="576"/>
      <c r="J60" s="576"/>
      <c r="K60" s="576" t="e">
        <f t="shared" si="15"/>
        <v>#REF!</v>
      </c>
      <c r="L60" s="576" t="e">
        <f t="shared" si="16"/>
        <v>#REF!</v>
      </c>
      <c r="M60" s="576" t="e">
        <f t="shared" si="17"/>
        <v>#REF!</v>
      </c>
      <c r="N60" s="577" t="e">
        <f>NCong!#REF!</f>
        <v>#REF!</v>
      </c>
    </row>
    <row r="61" spans="1:14" ht="35.1" customHeight="1">
      <c r="A61" s="575" t="e">
        <f>NCong!#REF!</f>
        <v>#REF!</v>
      </c>
      <c r="B61" s="561" t="e">
        <f>NCong!#REF!</f>
        <v>#REF!</v>
      </c>
      <c r="C61" s="561" t="e">
        <f>NCong!#REF!</f>
        <v>#REF!</v>
      </c>
      <c r="D61" s="548"/>
      <c r="E61" s="576" t="e">
        <f>NCong!#REF!</f>
        <v>#REF!</v>
      </c>
      <c r="F61" s="576"/>
      <c r="G61" s="576"/>
      <c r="H61" s="576"/>
      <c r="I61" s="576"/>
      <c r="J61" s="576"/>
      <c r="K61" s="576" t="e">
        <f t="shared" si="15"/>
        <v>#REF!</v>
      </c>
      <c r="L61" s="576" t="e">
        <f t="shared" si="16"/>
        <v>#REF!</v>
      </c>
      <c r="M61" s="576" t="e">
        <f t="shared" si="17"/>
        <v>#REF!</v>
      </c>
      <c r="N61" s="577" t="e">
        <f>NCong!#REF!</f>
        <v>#REF!</v>
      </c>
    </row>
    <row r="62" spans="1:14" s="534" customFormat="1" ht="30" customHeight="1">
      <c r="A62" s="578" t="e">
        <f>NCong!#REF!</f>
        <v>#REF!</v>
      </c>
      <c r="B62" s="579" t="e">
        <f>NCong!#REF!</f>
        <v>#REF!</v>
      </c>
      <c r="C62" s="569" t="e">
        <f>NCong!#REF!</f>
        <v>#REF!</v>
      </c>
      <c r="D62" s="580" t="e">
        <f>NCong!#REF!</f>
        <v>#REF!</v>
      </c>
      <c r="E62" s="570" t="e">
        <f>NCong!#REF!</f>
        <v>#REF!</v>
      </c>
      <c r="F62" s="570"/>
      <c r="G62" s="570">
        <f>Dcu!L62</f>
        <v>649.11666666666679</v>
      </c>
      <c r="H62" s="570" t="e">
        <f>VLieu!#REF!</f>
        <v>#REF!</v>
      </c>
      <c r="I62" s="570" t="e">
        <f>Tbi!#REF!</f>
        <v>#REF!</v>
      </c>
      <c r="J62" s="570" t="e">
        <f>Tbi!#REF!+Dcu!L58</f>
        <v>#REF!</v>
      </c>
      <c r="K62" s="570" t="e">
        <f t="shared" si="15"/>
        <v>#REF!</v>
      </c>
      <c r="L62" s="570" t="e">
        <f t="shared" si="16"/>
        <v>#REF!</v>
      </c>
      <c r="M62" s="570" t="e">
        <f t="shared" si="17"/>
        <v>#REF!</v>
      </c>
      <c r="N62" s="571" t="e">
        <f>NCong!#REF!</f>
        <v>#REF!</v>
      </c>
    </row>
    <row r="63" spans="1:14" s="534" customFormat="1" ht="30" customHeight="1">
      <c r="A63" s="578" t="e">
        <f>NCong!#REF!</f>
        <v>#REF!</v>
      </c>
      <c r="B63" s="579" t="e">
        <f>NCong!#REF!</f>
        <v>#REF!</v>
      </c>
      <c r="C63" s="569" t="e">
        <f>NCong!#REF!</f>
        <v>#REF!</v>
      </c>
      <c r="D63" s="569" t="e">
        <f>NCong!#REF!</f>
        <v>#REF!</v>
      </c>
      <c r="E63" s="570" t="e">
        <f>NCong!#REF!</f>
        <v>#REF!</v>
      </c>
      <c r="F63" s="570"/>
      <c r="G63" s="570"/>
      <c r="H63" s="570"/>
      <c r="I63" s="570"/>
      <c r="J63" s="570"/>
      <c r="K63" s="570" t="e">
        <f>SUM(E63:J63)</f>
        <v>#REF!</v>
      </c>
      <c r="L63" s="570" t="e">
        <f>$L$4*K63</f>
        <v>#REF!</v>
      </c>
      <c r="M63" s="570" t="e">
        <f>K63+L63</f>
        <v>#REF!</v>
      </c>
      <c r="N63" s="571" t="e">
        <f>NCong!#REF!</f>
        <v>#REF!</v>
      </c>
    </row>
    <row r="64" spans="1:14" s="534" customFormat="1" ht="60" customHeight="1">
      <c r="A64" s="582" t="e">
        <f>NCong!#REF!</f>
        <v>#REF!</v>
      </c>
      <c r="B64" s="1854" t="e">
        <f>NCong!#REF!</f>
        <v>#REF!</v>
      </c>
      <c r="C64" s="1854"/>
      <c r="D64" s="1854"/>
      <c r="E64" s="1854"/>
      <c r="F64" s="1854"/>
      <c r="G64" s="1854"/>
      <c r="H64" s="1854"/>
      <c r="I64" s="1854"/>
      <c r="J64" s="1854"/>
      <c r="K64" s="1854"/>
      <c r="L64" s="1854"/>
      <c r="M64" s="1854"/>
      <c r="N64" s="583"/>
    </row>
    <row r="65" spans="1:14" s="534" customFormat="1" ht="39.950000000000003" customHeight="1">
      <c r="A65" s="1844" t="e">
        <f>NCong!#REF!</f>
        <v>#REF!</v>
      </c>
      <c r="B65" s="1839" t="e">
        <f>NCong!#REF!</f>
        <v>#REF!</v>
      </c>
      <c r="C65" s="1836" t="str">
        <f>C44</f>
        <v>Hồ sơ</v>
      </c>
      <c r="D65" s="569" t="str">
        <f>D44</f>
        <v>2</v>
      </c>
      <c r="E65" s="570" t="e">
        <f t="shared" ref="E65:G68" si="18">E44*1.6</f>
        <v>#REF!</v>
      </c>
      <c r="F65" s="570" t="e">
        <f t="shared" si="18"/>
        <v>#REF!</v>
      </c>
      <c r="G65" s="570">
        <f t="shared" si="18"/>
        <v>12693.539025641026</v>
      </c>
      <c r="H65" s="570" t="e">
        <f>H44</f>
        <v>#REF!</v>
      </c>
      <c r="I65" s="570" t="e">
        <f t="shared" ref="I65:J68" si="19">I44*1.6</f>
        <v>#REF!</v>
      </c>
      <c r="J65" s="570" t="e">
        <f t="shared" si="19"/>
        <v>#REF!</v>
      </c>
      <c r="K65" s="570" t="e">
        <f t="shared" ref="K65:K88" si="20">SUM(E65:J65)</f>
        <v>#REF!</v>
      </c>
      <c r="L65" s="570" t="e">
        <f t="shared" ref="L65:L88" si="21">$L$4*K65</f>
        <v>#REF!</v>
      </c>
      <c r="M65" s="570" t="e">
        <f t="shared" ref="M65:M88" si="22">K65+L65</f>
        <v>#REF!</v>
      </c>
      <c r="N65" s="571" t="e">
        <f>N44*1.6</f>
        <v>#REF!</v>
      </c>
    </row>
    <row r="66" spans="1:14" s="534" customFormat="1" ht="39.950000000000003" customHeight="1">
      <c r="A66" s="1844"/>
      <c r="B66" s="1839"/>
      <c r="C66" s="1836"/>
      <c r="D66" s="569" t="str">
        <f>D45</f>
        <v>3</v>
      </c>
      <c r="E66" s="570" t="e">
        <f t="shared" si="18"/>
        <v>#REF!</v>
      </c>
      <c r="F66" s="570" t="e">
        <f t="shared" si="18"/>
        <v>#REF!</v>
      </c>
      <c r="G66" s="570">
        <f t="shared" si="18"/>
        <v>13311.831794871798</v>
      </c>
      <c r="H66" s="570" t="e">
        <f>H45</f>
        <v>#REF!</v>
      </c>
      <c r="I66" s="570" t="e">
        <f t="shared" si="19"/>
        <v>#REF!</v>
      </c>
      <c r="J66" s="570" t="e">
        <f t="shared" si="19"/>
        <v>#REF!</v>
      </c>
      <c r="K66" s="570" t="e">
        <f t="shared" si="20"/>
        <v>#REF!</v>
      </c>
      <c r="L66" s="570" t="e">
        <f t="shared" si="21"/>
        <v>#REF!</v>
      </c>
      <c r="M66" s="570" t="e">
        <f t="shared" si="22"/>
        <v>#REF!</v>
      </c>
      <c r="N66" s="571" t="e">
        <f>N45*1.6</f>
        <v>#REF!</v>
      </c>
    </row>
    <row r="67" spans="1:14" s="534" customFormat="1" ht="39.950000000000003" customHeight="1">
      <c r="A67" s="1844"/>
      <c r="B67" s="1839"/>
      <c r="C67" s="1836"/>
      <c r="D67" s="569" t="str">
        <f>D46</f>
        <v>4</v>
      </c>
      <c r="E67" s="570" t="e">
        <f t="shared" si="18"/>
        <v>#REF!</v>
      </c>
      <c r="F67" s="570" t="e">
        <f t="shared" si="18"/>
        <v>#REF!</v>
      </c>
      <c r="G67" s="570">
        <f t="shared" si="18"/>
        <v>13930.124564102567</v>
      </c>
      <c r="H67" s="570" t="e">
        <f>H46</f>
        <v>#REF!</v>
      </c>
      <c r="I67" s="570" t="e">
        <f t="shared" si="19"/>
        <v>#REF!</v>
      </c>
      <c r="J67" s="570" t="e">
        <f t="shared" si="19"/>
        <v>#REF!</v>
      </c>
      <c r="K67" s="570" t="e">
        <f t="shared" si="20"/>
        <v>#REF!</v>
      </c>
      <c r="L67" s="570" t="e">
        <f t="shared" si="21"/>
        <v>#REF!</v>
      </c>
      <c r="M67" s="570" t="e">
        <f t="shared" si="22"/>
        <v>#REF!</v>
      </c>
      <c r="N67" s="571" t="e">
        <f>N46*1.6</f>
        <v>#REF!</v>
      </c>
    </row>
    <row r="68" spans="1:14" s="534" customFormat="1" ht="39.950000000000003" customHeight="1">
      <c r="A68" s="1844"/>
      <c r="B68" s="1839"/>
      <c r="C68" s="1836"/>
      <c r="D68" s="569" t="str">
        <f>D47</f>
        <v>5</v>
      </c>
      <c r="E68" s="570" t="e">
        <f t="shared" si="18"/>
        <v>#REF!</v>
      </c>
      <c r="F68" s="570" t="e">
        <f t="shared" si="18"/>
        <v>#REF!</v>
      </c>
      <c r="G68" s="570">
        <f t="shared" si="18"/>
        <v>14548.417333333335</v>
      </c>
      <c r="H68" s="570" t="e">
        <f>H47</f>
        <v>#REF!</v>
      </c>
      <c r="I68" s="570" t="e">
        <f t="shared" si="19"/>
        <v>#REF!</v>
      </c>
      <c r="J68" s="570" t="e">
        <f t="shared" si="19"/>
        <v>#REF!</v>
      </c>
      <c r="K68" s="570" t="e">
        <f t="shared" si="20"/>
        <v>#REF!</v>
      </c>
      <c r="L68" s="570" t="e">
        <f t="shared" si="21"/>
        <v>#REF!</v>
      </c>
      <c r="M68" s="570" t="e">
        <f t="shared" si="22"/>
        <v>#REF!</v>
      </c>
      <c r="N68" s="571" t="e">
        <f>N47*1.6</f>
        <v>#REF!</v>
      </c>
    </row>
    <row r="69" spans="1:14" s="534" customFormat="1" ht="39.950000000000003" customHeight="1">
      <c r="A69" s="1844" t="e">
        <f>NCong!#REF!</f>
        <v>#REF!</v>
      </c>
      <c r="B69" s="1839" t="e">
        <f>NCong!#REF!</f>
        <v>#REF!</v>
      </c>
      <c r="C69" s="1836" t="str">
        <f>C44</f>
        <v>Hồ sơ</v>
      </c>
      <c r="D69" s="569" t="str">
        <f>D44</f>
        <v>2</v>
      </c>
      <c r="E69" s="570" t="e">
        <f>0.3*(E44-NCong!#REF!-NCong!#REF!-NCong!#REF!-NCong!#REF!-NCong!#REF!-NCong!#REF!-NCong!#REF!-NCong!#REF!-NCong!#REF!-NCong!#REF!-NCong!#REF!-NCong!#REF!)</f>
        <v>#REF!</v>
      </c>
      <c r="F69" s="570" t="e">
        <f>F44-NCong!#REF!</f>
        <v>#REF!</v>
      </c>
      <c r="G69" s="570"/>
      <c r="H69" s="570"/>
      <c r="I69" s="570" t="e">
        <f t="shared" ref="I69:J72" si="23">I44*0.3</f>
        <v>#REF!</v>
      </c>
      <c r="J69" s="570" t="e">
        <f t="shared" si="23"/>
        <v>#REF!</v>
      </c>
      <c r="K69" s="570" t="e">
        <f t="shared" si="20"/>
        <v>#REF!</v>
      </c>
      <c r="L69" s="570" t="e">
        <f t="shared" si="21"/>
        <v>#REF!</v>
      </c>
      <c r="M69" s="570" t="e">
        <f t="shared" si="22"/>
        <v>#REF!</v>
      </c>
      <c r="N69" s="571" t="e">
        <f>0.3*(N44-NCong!#REF!-NCong!#REF!-NCong!#REF!-NCong!#REF!-NCong!#REF!-NCong!#REF!-NCong!#REF!-NCong!#REF!-NCong!#REF!-NCong!#REF!-NCong!#REF!-NCong!#REF!)</f>
        <v>#REF!</v>
      </c>
    </row>
    <row r="70" spans="1:14" s="534" customFormat="1" ht="39.950000000000003" customHeight="1">
      <c r="A70" s="1844"/>
      <c r="B70" s="1839"/>
      <c r="C70" s="1836"/>
      <c r="D70" s="569" t="str">
        <f>D45</f>
        <v>3</v>
      </c>
      <c r="E70" s="570" t="e">
        <f>0.3*(E45-NCong!#REF!-NCong!#REF!-NCong!#REF!-NCong!#REF!-NCong!#REF!-NCong!#REF!-NCong!#REF!-NCong!#REF!-NCong!#REF!-NCong!#REF!-NCong!#REF!-NCong!#REF!)</f>
        <v>#REF!</v>
      </c>
      <c r="F70" s="570" t="e">
        <f>F45-NCong!#REF!</f>
        <v>#REF!</v>
      </c>
      <c r="G70" s="570"/>
      <c r="H70" s="570"/>
      <c r="I70" s="570" t="e">
        <f t="shared" si="23"/>
        <v>#REF!</v>
      </c>
      <c r="J70" s="570" t="e">
        <f t="shared" si="23"/>
        <v>#REF!</v>
      </c>
      <c r="K70" s="570" t="e">
        <f t="shared" si="20"/>
        <v>#REF!</v>
      </c>
      <c r="L70" s="570" t="e">
        <f t="shared" si="21"/>
        <v>#REF!</v>
      </c>
      <c r="M70" s="570" t="e">
        <f t="shared" si="22"/>
        <v>#REF!</v>
      </c>
      <c r="N70" s="571" t="e">
        <f>0.3*(N45-NCong!#REF!-NCong!#REF!-NCong!#REF!-NCong!#REF!-NCong!#REF!-NCong!#REF!-NCong!#REF!-NCong!#REF!-NCong!#REF!-NCong!#REF!-NCong!#REF!-NCong!#REF!)</f>
        <v>#REF!</v>
      </c>
    </row>
    <row r="71" spans="1:14" s="534" customFormat="1" ht="39.950000000000003" customHeight="1">
      <c r="A71" s="1844"/>
      <c r="B71" s="1839"/>
      <c r="C71" s="1836"/>
      <c r="D71" s="569" t="str">
        <f>D46</f>
        <v>4</v>
      </c>
      <c r="E71" s="570" t="e">
        <f>0.3*(E46-NCong!#REF!-NCong!#REF!-NCong!#REF!-NCong!#REF!-NCong!#REF!-NCong!#REF!-NCong!#REF!-NCong!#REF!-NCong!#REF!-NCong!#REF!-NCong!#REF!-NCong!#REF!)</f>
        <v>#REF!</v>
      </c>
      <c r="F71" s="570" t="e">
        <f>F46-NCong!#REF!</f>
        <v>#REF!</v>
      </c>
      <c r="G71" s="570"/>
      <c r="H71" s="570"/>
      <c r="I71" s="570" t="e">
        <f t="shared" si="23"/>
        <v>#REF!</v>
      </c>
      <c r="J71" s="570" t="e">
        <f t="shared" si="23"/>
        <v>#REF!</v>
      </c>
      <c r="K71" s="570" t="e">
        <f t="shared" si="20"/>
        <v>#REF!</v>
      </c>
      <c r="L71" s="570" t="e">
        <f t="shared" si="21"/>
        <v>#REF!</v>
      </c>
      <c r="M71" s="570" t="e">
        <f t="shared" si="22"/>
        <v>#REF!</v>
      </c>
      <c r="N71" s="571" t="e">
        <f>0.3*(N46-NCong!#REF!-NCong!#REF!-NCong!#REF!-NCong!#REF!-NCong!#REF!-NCong!#REF!-NCong!#REF!-NCong!#REF!-NCong!#REF!-NCong!#REF!-NCong!#REF!-NCong!#REF!)</f>
        <v>#REF!</v>
      </c>
    </row>
    <row r="72" spans="1:14" s="534" customFormat="1" ht="39.950000000000003" customHeight="1">
      <c r="A72" s="1844"/>
      <c r="B72" s="1839"/>
      <c r="C72" s="1836"/>
      <c r="D72" s="569" t="str">
        <f>D47</f>
        <v>5</v>
      </c>
      <c r="E72" s="570" t="e">
        <f>0.3*(E47-NCong!#REF!-NCong!#REF!-NCong!#REF!-NCong!#REF!-NCong!#REF!-NCong!#REF!-NCong!#REF!-NCong!#REF!-NCong!#REF!-NCong!#REF!-NCong!#REF!-NCong!#REF!)</f>
        <v>#REF!</v>
      </c>
      <c r="F72" s="570" t="e">
        <f>F47-NCong!#REF!</f>
        <v>#REF!</v>
      </c>
      <c r="G72" s="570"/>
      <c r="H72" s="570"/>
      <c r="I72" s="570" t="e">
        <f t="shared" si="23"/>
        <v>#REF!</v>
      </c>
      <c r="J72" s="570" t="e">
        <f t="shared" si="23"/>
        <v>#REF!</v>
      </c>
      <c r="K72" s="570" t="e">
        <f t="shared" si="20"/>
        <v>#REF!</v>
      </c>
      <c r="L72" s="570" t="e">
        <f t="shared" si="21"/>
        <v>#REF!</v>
      </c>
      <c r="M72" s="570" t="e">
        <f t="shared" si="22"/>
        <v>#REF!</v>
      </c>
      <c r="N72" s="571" t="e">
        <f>0.3*(N47-NCong!#REF!-NCong!#REF!-NCong!#REF!-NCong!#REF!-NCong!#REF!-NCong!#REF!-NCong!#REF!-NCong!#REF!-NCong!#REF!-NCong!#REF!-NCong!#REF!-NCong!#REF!)</f>
        <v>#REF!</v>
      </c>
    </row>
    <row r="73" spans="1:14" s="534" customFormat="1" ht="35.1" customHeight="1">
      <c r="A73" s="1844" t="e">
        <f>NCong!#REF!</f>
        <v>#REF!</v>
      </c>
      <c r="B73" s="1839" t="e">
        <f>NCong!#REF!</f>
        <v>#REF!</v>
      </c>
      <c r="C73" s="1836" t="str">
        <f t="shared" ref="C73:D76" si="24">C44</f>
        <v>Hồ sơ</v>
      </c>
      <c r="D73" s="569" t="str">
        <f t="shared" si="24"/>
        <v>2</v>
      </c>
      <c r="E73" s="570" t="e">
        <f>E44-NCong!#REF!-NCong!#REF!-NCong!#REF!-NCong!#REF!-NCong!#REF!-NCong!#REF!</f>
        <v>#REF!</v>
      </c>
      <c r="F73" s="570" t="e">
        <f t="shared" ref="F73:J76" si="25">F44</f>
        <v>#REF!</v>
      </c>
      <c r="G73" s="570">
        <f t="shared" si="25"/>
        <v>7933.4618910256413</v>
      </c>
      <c r="H73" s="570" t="e">
        <f t="shared" si="25"/>
        <v>#REF!</v>
      </c>
      <c r="I73" s="570" t="e">
        <f t="shared" si="25"/>
        <v>#REF!</v>
      </c>
      <c r="J73" s="570" t="e">
        <f t="shared" si="25"/>
        <v>#REF!</v>
      </c>
      <c r="K73" s="570" t="e">
        <f t="shared" si="20"/>
        <v>#REF!</v>
      </c>
      <c r="L73" s="570" t="e">
        <f t="shared" si="21"/>
        <v>#REF!</v>
      </c>
      <c r="M73" s="570" t="e">
        <f t="shared" si="22"/>
        <v>#REF!</v>
      </c>
      <c r="N73" s="571" t="e">
        <f>N44-NCong!#REF!-NCong!#REF!-NCong!#REF!-NCong!#REF!-NCong!#REF!-NCong!#REF!</f>
        <v>#REF!</v>
      </c>
    </row>
    <row r="74" spans="1:14" s="534" customFormat="1" ht="35.1" customHeight="1">
      <c r="A74" s="1844"/>
      <c r="B74" s="1839"/>
      <c r="C74" s="1836">
        <f t="shared" si="24"/>
        <v>0</v>
      </c>
      <c r="D74" s="569" t="str">
        <f t="shared" si="24"/>
        <v>3</v>
      </c>
      <c r="E74" s="570" t="e">
        <f>E45-NCong!#REF!-NCong!#REF!-NCong!#REF!-NCong!#REF!-NCong!#REF!-NCong!#REF!</f>
        <v>#REF!</v>
      </c>
      <c r="F74" s="570" t="e">
        <f t="shared" si="25"/>
        <v>#REF!</v>
      </c>
      <c r="G74" s="570">
        <f t="shared" si="25"/>
        <v>8319.8948717948733</v>
      </c>
      <c r="H74" s="570" t="e">
        <f t="shared" si="25"/>
        <v>#REF!</v>
      </c>
      <c r="I74" s="570" t="e">
        <f t="shared" si="25"/>
        <v>#REF!</v>
      </c>
      <c r="J74" s="570" t="e">
        <f t="shared" si="25"/>
        <v>#REF!</v>
      </c>
      <c r="K74" s="570" t="e">
        <f t="shared" si="20"/>
        <v>#REF!</v>
      </c>
      <c r="L74" s="570" t="e">
        <f t="shared" si="21"/>
        <v>#REF!</v>
      </c>
      <c r="M74" s="570" t="e">
        <f t="shared" si="22"/>
        <v>#REF!</v>
      </c>
      <c r="N74" s="571" t="e">
        <f>N45-NCong!#REF!-NCong!#REF!-NCong!#REF!-NCong!#REF!-NCong!#REF!-NCong!#REF!</f>
        <v>#REF!</v>
      </c>
    </row>
    <row r="75" spans="1:14" s="534" customFormat="1" ht="35.1" customHeight="1">
      <c r="A75" s="1844"/>
      <c r="B75" s="1839"/>
      <c r="C75" s="1836">
        <f t="shared" si="24"/>
        <v>0</v>
      </c>
      <c r="D75" s="569" t="str">
        <f t="shared" si="24"/>
        <v>4</v>
      </c>
      <c r="E75" s="570" t="e">
        <f>E46-NCong!#REF!-NCong!#REF!-NCong!#REF!-NCong!#REF!-NCong!#REF!-NCong!#REF!</f>
        <v>#REF!</v>
      </c>
      <c r="F75" s="570" t="e">
        <f t="shared" si="25"/>
        <v>#REF!</v>
      </c>
      <c r="G75" s="570">
        <f t="shared" si="25"/>
        <v>8706.3278525641035</v>
      </c>
      <c r="H75" s="570" t="e">
        <f t="shared" si="25"/>
        <v>#REF!</v>
      </c>
      <c r="I75" s="570" t="e">
        <f t="shared" si="25"/>
        <v>#REF!</v>
      </c>
      <c r="J75" s="570" t="e">
        <f t="shared" si="25"/>
        <v>#REF!</v>
      </c>
      <c r="K75" s="570" t="e">
        <f t="shared" si="20"/>
        <v>#REF!</v>
      </c>
      <c r="L75" s="570" t="e">
        <f t="shared" si="21"/>
        <v>#REF!</v>
      </c>
      <c r="M75" s="570" t="e">
        <f t="shared" si="22"/>
        <v>#REF!</v>
      </c>
      <c r="N75" s="571" t="e">
        <f>N46-NCong!#REF!-NCong!#REF!-NCong!#REF!-NCong!#REF!-NCong!#REF!-NCong!#REF!</f>
        <v>#REF!</v>
      </c>
    </row>
    <row r="76" spans="1:14" s="534" customFormat="1" ht="35.1" customHeight="1">
      <c r="A76" s="1844"/>
      <c r="B76" s="1839"/>
      <c r="C76" s="1836">
        <f t="shared" si="24"/>
        <v>0</v>
      </c>
      <c r="D76" s="569" t="str">
        <f t="shared" si="24"/>
        <v>5</v>
      </c>
      <c r="E76" s="570" t="e">
        <f>E47-NCong!#REF!-NCong!#REF!-NCong!#REF!-NCong!#REF!-NCong!#REF!-NCong!#REF!</f>
        <v>#REF!</v>
      </c>
      <c r="F76" s="570" t="e">
        <f t="shared" si="25"/>
        <v>#REF!</v>
      </c>
      <c r="G76" s="570">
        <f t="shared" si="25"/>
        <v>9092.7608333333337</v>
      </c>
      <c r="H76" s="570" t="e">
        <f t="shared" si="25"/>
        <v>#REF!</v>
      </c>
      <c r="I76" s="570" t="e">
        <f t="shared" si="25"/>
        <v>#REF!</v>
      </c>
      <c r="J76" s="570" t="e">
        <f t="shared" si="25"/>
        <v>#REF!</v>
      </c>
      <c r="K76" s="570" t="e">
        <f t="shared" si="20"/>
        <v>#REF!</v>
      </c>
      <c r="L76" s="570" t="e">
        <f t="shared" si="21"/>
        <v>#REF!</v>
      </c>
      <c r="M76" s="570" t="e">
        <f t="shared" si="22"/>
        <v>#REF!</v>
      </c>
      <c r="N76" s="571" t="e">
        <f>N47-NCong!#REF!-NCong!#REF!-NCong!#REF!-NCong!#REF!-NCong!#REF!-NCong!#REF!</f>
        <v>#REF!</v>
      </c>
    </row>
    <row r="77" spans="1:14" s="534" customFormat="1" ht="35.1" customHeight="1">
      <c r="A77" s="1844" t="e">
        <f>NCong!#REF!</f>
        <v>#REF!</v>
      </c>
      <c r="B77" s="1839" t="e">
        <f>NCong!#REF!</f>
        <v>#REF!</v>
      </c>
      <c r="C77" s="1836" t="str">
        <f>C44</f>
        <v>Hồ sơ</v>
      </c>
      <c r="D77" s="569" t="str">
        <f>D44</f>
        <v>2</v>
      </c>
      <c r="E77" s="570" t="e">
        <f t="shared" ref="E77:J80" si="26">E44*0.5</f>
        <v>#REF!</v>
      </c>
      <c r="F77" s="570" t="e">
        <f t="shared" si="26"/>
        <v>#REF!</v>
      </c>
      <c r="G77" s="570">
        <f t="shared" si="26"/>
        <v>3966.7309455128207</v>
      </c>
      <c r="H77" s="570" t="e">
        <f t="shared" si="26"/>
        <v>#REF!</v>
      </c>
      <c r="I77" s="570" t="e">
        <f t="shared" si="26"/>
        <v>#REF!</v>
      </c>
      <c r="J77" s="570" t="e">
        <f t="shared" si="26"/>
        <v>#REF!</v>
      </c>
      <c r="K77" s="570" t="e">
        <f t="shared" si="20"/>
        <v>#REF!</v>
      </c>
      <c r="L77" s="570" t="e">
        <f t="shared" si="21"/>
        <v>#REF!</v>
      </c>
      <c r="M77" s="570" t="e">
        <f t="shared" si="22"/>
        <v>#REF!</v>
      </c>
      <c r="N77" s="571" t="e">
        <f>N44*0.5</f>
        <v>#REF!</v>
      </c>
    </row>
    <row r="78" spans="1:14" s="534" customFormat="1" ht="35.1" customHeight="1">
      <c r="A78" s="1844"/>
      <c r="B78" s="1839"/>
      <c r="C78" s="1836"/>
      <c r="D78" s="569" t="str">
        <f>D45</f>
        <v>3</v>
      </c>
      <c r="E78" s="570" t="e">
        <f t="shared" si="26"/>
        <v>#REF!</v>
      </c>
      <c r="F78" s="570" t="e">
        <f t="shared" si="26"/>
        <v>#REF!</v>
      </c>
      <c r="G78" s="570">
        <f t="shared" si="26"/>
        <v>4159.9474358974367</v>
      </c>
      <c r="H78" s="570" t="e">
        <f t="shared" si="26"/>
        <v>#REF!</v>
      </c>
      <c r="I78" s="570" t="e">
        <f t="shared" si="26"/>
        <v>#REF!</v>
      </c>
      <c r="J78" s="570" t="e">
        <f t="shared" si="26"/>
        <v>#REF!</v>
      </c>
      <c r="K78" s="570" t="e">
        <f t="shared" si="20"/>
        <v>#REF!</v>
      </c>
      <c r="L78" s="570" t="e">
        <f t="shared" si="21"/>
        <v>#REF!</v>
      </c>
      <c r="M78" s="570" t="e">
        <f t="shared" si="22"/>
        <v>#REF!</v>
      </c>
      <c r="N78" s="571" t="e">
        <f>N45*0.5</f>
        <v>#REF!</v>
      </c>
    </row>
    <row r="79" spans="1:14" s="534" customFormat="1" ht="35.1" customHeight="1">
      <c r="A79" s="1844"/>
      <c r="B79" s="1839"/>
      <c r="C79" s="1836"/>
      <c r="D79" s="569" t="str">
        <f>D46</f>
        <v>4</v>
      </c>
      <c r="E79" s="570" t="e">
        <f t="shared" si="26"/>
        <v>#REF!</v>
      </c>
      <c r="F79" s="570" t="e">
        <f t="shared" si="26"/>
        <v>#REF!</v>
      </c>
      <c r="G79" s="570">
        <f t="shared" si="26"/>
        <v>4353.1639262820518</v>
      </c>
      <c r="H79" s="570" t="e">
        <f t="shared" si="26"/>
        <v>#REF!</v>
      </c>
      <c r="I79" s="570" t="e">
        <f t="shared" si="26"/>
        <v>#REF!</v>
      </c>
      <c r="J79" s="570" t="e">
        <f t="shared" si="26"/>
        <v>#REF!</v>
      </c>
      <c r="K79" s="570" t="e">
        <f t="shared" si="20"/>
        <v>#REF!</v>
      </c>
      <c r="L79" s="570" t="e">
        <f t="shared" si="21"/>
        <v>#REF!</v>
      </c>
      <c r="M79" s="570" t="e">
        <f t="shared" si="22"/>
        <v>#REF!</v>
      </c>
      <c r="N79" s="571" t="e">
        <f>N46*0.5</f>
        <v>#REF!</v>
      </c>
    </row>
    <row r="80" spans="1:14" s="534" customFormat="1" ht="35.1" customHeight="1">
      <c r="A80" s="1844"/>
      <c r="B80" s="1839"/>
      <c r="C80" s="1836"/>
      <c r="D80" s="569" t="str">
        <f>D47</f>
        <v>5</v>
      </c>
      <c r="E80" s="570" t="e">
        <f t="shared" si="26"/>
        <v>#REF!</v>
      </c>
      <c r="F80" s="570" t="e">
        <f t="shared" si="26"/>
        <v>#REF!</v>
      </c>
      <c r="G80" s="570">
        <f t="shared" si="26"/>
        <v>4546.3804166666669</v>
      </c>
      <c r="H80" s="570" t="e">
        <f t="shared" si="26"/>
        <v>#REF!</v>
      </c>
      <c r="I80" s="570" t="e">
        <f t="shared" si="26"/>
        <v>#REF!</v>
      </c>
      <c r="J80" s="570" t="e">
        <f t="shared" si="26"/>
        <v>#REF!</v>
      </c>
      <c r="K80" s="570" t="e">
        <f t="shared" si="20"/>
        <v>#REF!</v>
      </c>
      <c r="L80" s="570" t="e">
        <f t="shared" si="21"/>
        <v>#REF!</v>
      </c>
      <c r="M80" s="570" t="e">
        <f t="shared" si="22"/>
        <v>#REF!</v>
      </c>
      <c r="N80" s="571" t="e">
        <f>N47*0.5</f>
        <v>#REF!</v>
      </c>
    </row>
    <row r="81" spans="1:14" s="534" customFormat="1" ht="35.1" customHeight="1">
      <c r="A81" s="1844" t="e">
        <f>NCong!#REF!</f>
        <v>#REF!</v>
      </c>
      <c r="B81" s="1839" t="e">
        <f>NCong!#REF!</f>
        <v>#REF!</v>
      </c>
      <c r="C81" s="1836" t="str">
        <f>C44</f>
        <v>Hồ sơ</v>
      </c>
      <c r="D81" s="569" t="str">
        <f>D44</f>
        <v>2</v>
      </c>
      <c r="E81" s="570" t="e">
        <f t="shared" ref="E81:J84" si="27">E44*0.9</f>
        <v>#REF!</v>
      </c>
      <c r="F81" s="570" t="e">
        <f t="shared" si="27"/>
        <v>#REF!</v>
      </c>
      <c r="G81" s="570">
        <f t="shared" si="27"/>
        <v>7140.1157019230777</v>
      </c>
      <c r="H81" s="570" t="e">
        <f t="shared" si="27"/>
        <v>#REF!</v>
      </c>
      <c r="I81" s="570" t="e">
        <f t="shared" si="27"/>
        <v>#REF!</v>
      </c>
      <c r="J81" s="570" t="e">
        <f t="shared" si="27"/>
        <v>#REF!</v>
      </c>
      <c r="K81" s="570" t="e">
        <f t="shared" si="20"/>
        <v>#REF!</v>
      </c>
      <c r="L81" s="570" t="e">
        <f t="shared" si="21"/>
        <v>#REF!</v>
      </c>
      <c r="M81" s="570" t="e">
        <f t="shared" si="22"/>
        <v>#REF!</v>
      </c>
      <c r="N81" s="571" t="e">
        <f>N44*0.9</f>
        <v>#REF!</v>
      </c>
    </row>
    <row r="82" spans="1:14" s="534" customFormat="1" ht="35.1" customHeight="1">
      <c r="A82" s="1844"/>
      <c r="B82" s="1839"/>
      <c r="C82" s="1836"/>
      <c r="D82" s="569" t="str">
        <f>D45</f>
        <v>3</v>
      </c>
      <c r="E82" s="570" t="e">
        <f t="shared" si="27"/>
        <v>#REF!</v>
      </c>
      <c r="F82" s="570" t="e">
        <f t="shared" si="27"/>
        <v>#REF!</v>
      </c>
      <c r="G82" s="570">
        <f t="shared" si="27"/>
        <v>7487.9053846153865</v>
      </c>
      <c r="H82" s="570" t="e">
        <f t="shared" si="27"/>
        <v>#REF!</v>
      </c>
      <c r="I82" s="570" t="e">
        <f t="shared" si="27"/>
        <v>#REF!</v>
      </c>
      <c r="J82" s="570" t="e">
        <f t="shared" si="27"/>
        <v>#REF!</v>
      </c>
      <c r="K82" s="570" t="e">
        <f t="shared" si="20"/>
        <v>#REF!</v>
      </c>
      <c r="L82" s="570" t="e">
        <f t="shared" si="21"/>
        <v>#REF!</v>
      </c>
      <c r="M82" s="570" t="e">
        <f t="shared" si="22"/>
        <v>#REF!</v>
      </c>
      <c r="N82" s="571" t="e">
        <f>N45*0.9</f>
        <v>#REF!</v>
      </c>
    </row>
    <row r="83" spans="1:14" s="534" customFormat="1" ht="35.1" customHeight="1">
      <c r="A83" s="1844"/>
      <c r="B83" s="1839"/>
      <c r="C83" s="1836"/>
      <c r="D83" s="569" t="str">
        <f>D46</f>
        <v>4</v>
      </c>
      <c r="E83" s="570" t="e">
        <f t="shared" si="27"/>
        <v>#REF!</v>
      </c>
      <c r="F83" s="570" t="e">
        <f t="shared" si="27"/>
        <v>#REF!</v>
      </c>
      <c r="G83" s="570">
        <f t="shared" si="27"/>
        <v>7835.6950673076935</v>
      </c>
      <c r="H83" s="570" t="e">
        <f t="shared" si="27"/>
        <v>#REF!</v>
      </c>
      <c r="I83" s="570" t="e">
        <f t="shared" si="27"/>
        <v>#REF!</v>
      </c>
      <c r="J83" s="570" t="e">
        <f t="shared" si="27"/>
        <v>#REF!</v>
      </c>
      <c r="K83" s="570" t="e">
        <f t="shared" si="20"/>
        <v>#REF!</v>
      </c>
      <c r="L83" s="570" t="e">
        <f t="shared" si="21"/>
        <v>#REF!</v>
      </c>
      <c r="M83" s="570" t="e">
        <f t="shared" si="22"/>
        <v>#REF!</v>
      </c>
      <c r="N83" s="571" t="e">
        <f>N46*0.9</f>
        <v>#REF!</v>
      </c>
    </row>
    <row r="84" spans="1:14" s="534" customFormat="1" ht="35.1" customHeight="1">
      <c r="A84" s="1844"/>
      <c r="B84" s="1839"/>
      <c r="C84" s="1836"/>
      <c r="D84" s="569" t="str">
        <f>D47</f>
        <v>5</v>
      </c>
      <c r="E84" s="570" t="e">
        <f t="shared" si="27"/>
        <v>#REF!</v>
      </c>
      <c r="F84" s="570" t="e">
        <f t="shared" si="27"/>
        <v>#REF!</v>
      </c>
      <c r="G84" s="570">
        <f t="shared" si="27"/>
        <v>8183.4847500000005</v>
      </c>
      <c r="H84" s="570" t="e">
        <f t="shared" si="27"/>
        <v>#REF!</v>
      </c>
      <c r="I84" s="570" t="e">
        <f t="shared" si="27"/>
        <v>#REF!</v>
      </c>
      <c r="J84" s="570" t="e">
        <f t="shared" si="27"/>
        <v>#REF!</v>
      </c>
      <c r="K84" s="570" t="e">
        <f t="shared" si="20"/>
        <v>#REF!</v>
      </c>
      <c r="L84" s="570" t="e">
        <f t="shared" si="21"/>
        <v>#REF!</v>
      </c>
      <c r="M84" s="570" t="e">
        <f t="shared" si="22"/>
        <v>#REF!</v>
      </c>
      <c r="N84" s="571" t="e">
        <f>N47*0.9</f>
        <v>#REF!</v>
      </c>
    </row>
    <row r="85" spans="1:14" s="534" customFormat="1" ht="35.1" customHeight="1">
      <c r="A85" s="1844" t="e">
        <f>NCong!#REF!</f>
        <v>#REF!</v>
      </c>
      <c r="B85" s="1839" t="e">
        <f>NCong!#REF!</f>
        <v>#REF!</v>
      </c>
      <c r="C85" s="1836" t="str">
        <f t="shared" ref="C85:D88" si="28">C44</f>
        <v>Hồ sơ</v>
      </c>
      <c r="D85" s="569" t="str">
        <f t="shared" si="28"/>
        <v>2</v>
      </c>
      <c r="E85" s="570" t="e">
        <f>E44-NCong!#REF!-NCong!#REF!-NCong!#REF!-NCong!#REF!-NCong!#REF!-NCong!#REF!-NCong!#REF!-NCong!#REF!-NCong!#REF!</f>
        <v>#REF!</v>
      </c>
      <c r="F85" s="570" t="e">
        <f>F44-NCong!#REF!-NCong!#REF!</f>
        <v>#REF!</v>
      </c>
      <c r="G85" s="570">
        <f t="shared" ref="G85:J88" si="29">G44</f>
        <v>7933.4618910256413</v>
      </c>
      <c r="H85" s="570" t="e">
        <f t="shared" si="29"/>
        <v>#REF!</v>
      </c>
      <c r="I85" s="570" t="e">
        <f t="shared" si="29"/>
        <v>#REF!</v>
      </c>
      <c r="J85" s="570" t="e">
        <f t="shared" si="29"/>
        <v>#REF!</v>
      </c>
      <c r="K85" s="570" t="e">
        <f t="shared" si="20"/>
        <v>#REF!</v>
      </c>
      <c r="L85" s="570" t="e">
        <f t="shared" si="21"/>
        <v>#REF!</v>
      </c>
      <c r="M85" s="570" t="e">
        <f t="shared" si="22"/>
        <v>#REF!</v>
      </c>
      <c r="N85" s="571" t="e">
        <f>N44-NCong!#REF!-NCong!#REF!-NCong!#REF!-NCong!#REF!-NCong!#REF!-NCong!#REF!-NCong!#REF!-NCong!#REF!-NCong!#REF!</f>
        <v>#REF!</v>
      </c>
    </row>
    <row r="86" spans="1:14" s="534" customFormat="1" ht="35.1" customHeight="1">
      <c r="A86" s="1844"/>
      <c r="B86" s="1839"/>
      <c r="C86" s="1836">
        <f t="shared" si="28"/>
        <v>0</v>
      </c>
      <c r="D86" s="569" t="str">
        <f t="shared" si="28"/>
        <v>3</v>
      </c>
      <c r="E86" s="570" t="e">
        <f>E45-NCong!#REF!-NCong!#REF!-NCong!#REF!-NCong!#REF!-NCong!#REF!-NCong!#REF!-NCong!#REF!-NCong!#REF!-NCong!#REF!</f>
        <v>#REF!</v>
      </c>
      <c r="F86" s="570" t="e">
        <f>F45-NCong!#REF!-NCong!#REF!</f>
        <v>#REF!</v>
      </c>
      <c r="G86" s="570">
        <f t="shared" si="29"/>
        <v>8319.8948717948733</v>
      </c>
      <c r="H86" s="570" t="e">
        <f t="shared" si="29"/>
        <v>#REF!</v>
      </c>
      <c r="I86" s="570" t="e">
        <f t="shared" si="29"/>
        <v>#REF!</v>
      </c>
      <c r="J86" s="570" t="e">
        <f t="shared" si="29"/>
        <v>#REF!</v>
      </c>
      <c r="K86" s="570" t="e">
        <f t="shared" si="20"/>
        <v>#REF!</v>
      </c>
      <c r="L86" s="570" t="e">
        <f t="shared" si="21"/>
        <v>#REF!</v>
      </c>
      <c r="M86" s="570" t="e">
        <f t="shared" si="22"/>
        <v>#REF!</v>
      </c>
      <c r="N86" s="571" t="e">
        <f>N45-NCong!#REF!-NCong!#REF!-NCong!#REF!-NCong!#REF!-NCong!#REF!-NCong!#REF!-NCong!#REF!-NCong!#REF!-NCong!#REF!</f>
        <v>#REF!</v>
      </c>
    </row>
    <row r="87" spans="1:14" s="534" customFormat="1" ht="35.1" customHeight="1">
      <c r="A87" s="1844"/>
      <c r="B87" s="1839"/>
      <c r="C87" s="1836">
        <f t="shared" si="28"/>
        <v>0</v>
      </c>
      <c r="D87" s="569" t="str">
        <f t="shared" si="28"/>
        <v>4</v>
      </c>
      <c r="E87" s="570" t="e">
        <f>E46-NCong!#REF!-NCong!#REF!-NCong!#REF!-NCong!#REF!-NCong!#REF!-NCong!#REF!-NCong!#REF!-NCong!#REF!-NCong!#REF!</f>
        <v>#REF!</v>
      </c>
      <c r="F87" s="570" t="e">
        <f>F46-NCong!#REF!-NCong!#REF!</f>
        <v>#REF!</v>
      </c>
      <c r="G87" s="570">
        <f t="shared" si="29"/>
        <v>8706.3278525641035</v>
      </c>
      <c r="H87" s="570" t="e">
        <f t="shared" si="29"/>
        <v>#REF!</v>
      </c>
      <c r="I87" s="570" t="e">
        <f t="shared" si="29"/>
        <v>#REF!</v>
      </c>
      <c r="J87" s="570" t="e">
        <f t="shared" si="29"/>
        <v>#REF!</v>
      </c>
      <c r="K87" s="570" t="e">
        <f t="shared" si="20"/>
        <v>#REF!</v>
      </c>
      <c r="L87" s="570" t="e">
        <f t="shared" si="21"/>
        <v>#REF!</v>
      </c>
      <c r="M87" s="570" t="e">
        <f t="shared" si="22"/>
        <v>#REF!</v>
      </c>
      <c r="N87" s="571" t="e">
        <f>N46-NCong!#REF!-NCong!#REF!-NCong!#REF!-NCong!#REF!-NCong!#REF!-NCong!#REF!-NCong!#REF!-NCong!#REF!-NCong!#REF!</f>
        <v>#REF!</v>
      </c>
    </row>
    <row r="88" spans="1:14" s="534" customFormat="1" ht="35.1" customHeight="1">
      <c r="A88" s="1844"/>
      <c r="B88" s="1839"/>
      <c r="C88" s="1836">
        <f t="shared" si="28"/>
        <v>0</v>
      </c>
      <c r="D88" s="569" t="str">
        <f t="shared" si="28"/>
        <v>5</v>
      </c>
      <c r="E88" s="570" t="e">
        <f>E47-NCong!#REF!-NCong!#REF!-NCong!#REF!-NCong!#REF!-NCong!#REF!-NCong!#REF!-NCong!#REF!-NCong!#REF!-NCong!#REF!</f>
        <v>#REF!</v>
      </c>
      <c r="F88" s="570" t="e">
        <f>F47-NCong!#REF!-NCong!#REF!</f>
        <v>#REF!</v>
      </c>
      <c r="G88" s="570">
        <f t="shared" si="29"/>
        <v>9092.7608333333337</v>
      </c>
      <c r="H88" s="570" t="e">
        <f t="shared" si="29"/>
        <v>#REF!</v>
      </c>
      <c r="I88" s="570" t="e">
        <f t="shared" si="29"/>
        <v>#REF!</v>
      </c>
      <c r="J88" s="570" t="e">
        <f t="shared" si="29"/>
        <v>#REF!</v>
      </c>
      <c r="K88" s="570" t="e">
        <f t="shared" si="20"/>
        <v>#REF!</v>
      </c>
      <c r="L88" s="570" t="e">
        <f t="shared" si="21"/>
        <v>#REF!</v>
      </c>
      <c r="M88" s="570" t="e">
        <f t="shared" si="22"/>
        <v>#REF!</v>
      </c>
      <c r="N88" s="571" t="e">
        <f>N47-NCong!#REF!-NCong!#REF!-NCong!#REF!-NCong!#REF!-NCong!#REF!-NCong!#REF!-NCong!#REF!-NCong!#REF!-NCong!#REF!</f>
        <v>#REF!</v>
      </c>
    </row>
    <row r="89" spans="1:14" ht="45" customHeight="1">
      <c r="A89" s="546" t="e">
        <f>NCong!#REF!</f>
        <v>#REF!</v>
      </c>
      <c r="B89" s="1775" t="e">
        <f>NCong!#REF!</f>
        <v>#REF!</v>
      </c>
      <c r="C89" s="1775"/>
      <c r="D89" s="1775"/>
      <c r="E89" s="1775"/>
      <c r="F89" s="1775"/>
      <c r="G89" s="1775"/>
      <c r="H89" s="1775"/>
      <c r="I89" s="1775"/>
      <c r="J89" s="1775"/>
      <c r="K89" s="1775"/>
      <c r="L89" s="1775"/>
      <c r="M89" s="1775"/>
      <c r="N89" s="551"/>
    </row>
    <row r="90" spans="1:14" ht="30" customHeight="1">
      <c r="A90" s="546" t="e">
        <f>NCong!#REF!</f>
        <v>#REF!</v>
      </c>
      <c r="B90" s="1775" t="e">
        <f>NCong!#REF!</f>
        <v>#REF!</v>
      </c>
      <c r="C90" s="1775"/>
      <c r="D90" s="1775"/>
      <c r="E90" s="1775"/>
      <c r="F90" s="1775"/>
      <c r="G90" s="1775"/>
      <c r="H90" s="1775"/>
      <c r="I90" s="1775"/>
      <c r="J90" s="1775"/>
      <c r="K90" s="1775"/>
      <c r="L90" s="1775"/>
      <c r="M90" s="1775"/>
      <c r="N90" s="551"/>
    </row>
    <row r="91" spans="1:14" s="530" customFormat="1" ht="35.1" customHeight="1">
      <c r="A91" s="535" t="str">
        <f>NCong!A97</f>
        <v>II</v>
      </c>
      <c r="B91" s="1831" t="str">
        <f>NCong!B97</f>
        <v>Đăng ký, cấp Giấy chứng nhận lần đầu đơn lẻ đối với hộ gia đình, cá nhân, cộng đồng dân cư, tổ chức trong nước, người gốc Việt Nam định cư ở nước ngoài tại địa bàn cấp xã, phường</v>
      </c>
      <c r="C91" s="1831"/>
      <c r="D91" s="1831"/>
      <c r="E91" s="1831"/>
      <c r="F91" s="1831"/>
      <c r="G91" s="1831"/>
      <c r="H91" s="1831"/>
      <c r="I91" s="1831"/>
      <c r="J91" s="1831"/>
      <c r="K91" s="1831"/>
      <c r="L91" s="1831"/>
      <c r="M91" s="1831"/>
      <c r="N91" s="1841"/>
    </row>
    <row r="92" spans="1:14" s="530" customFormat="1" ht="30" customHeight="1">
      <c r="A92" s="535"/>
      <c r="B92" s="1847" t="s">
        <v>516</v>
      </c>
      <c r="C92" s="1847"/>
      <c r="D92" s="1847"/>
      <c r="E92" s="1847"/>
      <c r="F92" s="1847"/>
      <c r="G92" s="1847"/>
      <c r="H92" s="1847"/>
      <c r="I92" s="1847"/>
      <c r="J92" s="1847"/>
      <c r="K92" s="1847"/>
      <c r="L92" s="1847"/>
      <c r="M92" s="1847"/>
      <c r="N92" s="1848"/>
    </row>
    <row r="93" spans="1:14" s="534" customFormat="1" ht="30" customHeight="1">
      <c r="A93" s="1830" t="s">
        <v>20</v>
      </c>
      <c r="B93" s="1831" t="s">
        <v>430</v>
      </c>
      <c r="C93" s="1832" t="s">
        <v>53</v>
      </c>
      <c r="D93" s="585">
        <v>1</v>
      </c>
      <c r="E93" s="537" t="e">
        <f>E98+E$103+E$108</f>
        <v>#REF!</v>
      </c>
      <c r="F93" s="537">
        <f>F98+F$103+F$108</f>
        <v>127346.15384615384</v>
      </c>
      <c r="G93" s="537">
        <f t="shared" ref="G93:J97" si="30">G98+G$103+G$108</f>
        <v>14634.112551961542</v>
      </c>
      <c r="H93" s="537">
        <f t="shared" si="30"/>
        <v>23374.9</v>
      </c>
      <c r="I93" s="537" t="e">
        <f t="shared" si="30"/>
        <v>#REF!</v>
      </c>
      <c r="J93" s="537" t="e">
        <f t="shared" si="30"/>
        <v>#REF!</v>
      </c>
      <c r="K93" s="537" t="e">
        <f t="shared" ref="K93:K109" si="31">SUM(E93:J93)</f>
        <v>#REF!</v>
      </c>
      <c r="L93" s="537" t="e">
        <f t="shared" ref="L93:L109" si="32">K93*15%</f>
        <v>#REF!</v>
      </c>
      <c r="M93" s="537" t="e">
        <f t="shared" ref="M93:M109" si="33">K93+L93</f>
        <v>#REF!</v>
      </c>
      <c r="N93" s="538" t="e">
        <f>N98+N$103+N$108</f>
        <v>#REF!</v>
      </c>
    </row>
    <row r="94" spans="1:14" s="534" customFormat="1" ht="30" customHeight="1">
      <c r="A94" s="1830"/>
      <c r="B94" s="1831"/>
      <c r="C94" s="1832"/>
      <c r="D94" s="585" t="s">
        <v>34</v>
      </c>
      <c r="E94" s="537" t="e">
        <f>E99+E$103+E$108</f>
        <v>#REF!</v>
      </c>
      <c r="F94" s="537">
        <f>F99</f>
        <v>140080.76923076925</v>
      </c>
      <c r="G94" s="537">
        <f t="shared" si="30"/>
        <v>14634.112551961542</v>
      </c>
      <c r="H94" s="537">
        <f t="shared" si="30"/>
        <v>23374.9</v>
      </c>
      <c r="I94" s="537" t="e">
        <f t="shared" si="30"/>
        <v>#REF!</v>
      </c>
      <c r="J94" s="537" t="e">
        <f t="shared" si="30"/>
        <v>#REF!</v>
      </c>
      <c r="K94" s="537" t="e">
        <f t="shared" si="31"/>
        <v>#REF!</v>
      </c>
      <c r="L94" s="537" t="e">
        <f t="shared" si="32"/>
        <v>#REF!</v>
      </c>
      <c r="M94" s="537" t="e">
        <f t="shared" si="33"/>
        <v>#REF!</v>
      </c>
      <c r="N94" s="538" t="e">
        <f>N99+N$103+N$108</f>
        <v>#REF!</v>
      </c>
    </row>
    <row r="95" spans="1:14" s="534" customFormat="1" ht="30" customHeight="1">
      <c r="A95" s="1830"/>
      <c r="B95" s="1831"/>
      <c r="C95" s="1832"/>
      <c r="D95" s="585" t="s">
        <v>35</v>
      </c>
      <c r="E95" s="537" t="e">
        <f>E100+E$103+E$108</f>
        <v>#REF!</v>
      </c>
      <c r="F95" s="537">
        <f>F100</f>
        <v>154088.84615384616</v>
      </c>
      <c r="G95" s="537">
        <f t="shared" si="30"/>
        <v>14634.112551961542</v>
      </c>
      <c r="H95" s="537">
        <f t="shared" si="30"/>
        <v>23374.9</v>
      </c>
      <c r="I95" s="537" t="e">
        <f t="shared" si="30"/>
        <v>#REF!</v>
      </c>
      <c r="J95" s="537" t="e">
        <f t="shared" si="30"/>
        <v>#REF!</v>
      </c>
      <c r="K95" s="537" t="e">
        <f t="shared" si="31"/>
        <v>#REF!</v>
      </c>
      <c r="L95" s="537" t="e">
        <f t="shared" si="32"/>
        <v>#REF!</v>
      </c>
      <c r="M95" s="537" t="e">
        <f t="shared" si="33"/>
        <v>#REF!</v>
      </c>
      <c r="N95" s="538" t="e">
        <f>N100+N$103+N$108</f>
        <v>#REF!</v>
      </c>
    </row>
    <row r="96" spans="1:14" s="534" customFormat="1" ht="30" customHeight="1">
      <c r="A96" s="1830"/>
      <c r="B96" s="1831"/>
      <c r="C96" s="1832"/>
      <c r="D96" s="585" t="s">
        <v>158</v>
      </c>
      <c r="E96" s="537" t="e">
        <f>E101+E$103+E$108</f>
        <v>#REF!</v>
      </c>
      <c r="F96" s="537" t="e">
        <f>F101</f>
        <v>#REF!</v>
      </c>
      <c r="G96" s="537">
        <f t="shared" si="30"/>
        <v>14634.112551961542</v>
      </c>
      <c r="H96" s="537">
        <f t="shared" si="30"/>
        <v>23374.9</v>
      </c>
      <c r="I96" s="537" t="e">
        <f t="shared" si="30"/>
        <v>#REF!</v>
      </c>
      <c r="J96" s="537" t="e">
        <f t="shared" si="30"/>
        <v>#REF!</v>
      </c>
      <c r="K96" s="537" t="e">
        <f t="shared" si="31"/>
        <v>#REF!</v>
      </c>
      <c r="L96" s="537" t="e">
        <f t="shared" si="32"/>
        <v>#REF!</v>
      </c>
      <c r="M96" s="537" t="e">
        <f t="shared" si="33"/>
        <v>#REF!</v>
      </c>
      <c r="N96" s="538" t="e">
        <f>N101+N$103+N$108</f>
        <v>#REF!</v>
      </c>
    </row>
    <row r="97" spans="1:14" s="534" customFormat="1" ht="30" customHeight="1">
      <c r="A97" s="1830"/>
      <c r="B97" s="1831"/>
      <c r="C97" s="1832"/>
      <c r="D97" s="585" t="s">
        <v>159</v>
      </c>
      <c r="E97" s="537" t="e">
        <f>E102+E$103+E$108</f>
        <v>#REF!</v>
      </c>
      <c r="F97" s="537" t="e">
        <f>F102</f>
        <v>#REF!</v>
      </c>
      <c r="G97" s="537">
        <f t="shared" si="30"/>
        <v>14634.112551961542</v>
      </c>
      <c r="H97" s="537">
        <f t="shared" si="30"/>
        <v>23374.9</v>
      </c>
      <c r="I97" s="537" t="e">
        <f t="shared" si="30"/>
        <v>#REF!</v>
      </c>
      <c r="J97" s="537" t="e">
        <f t="shared" si="30"/>
        <v>#REF!</v>
      </c>
      <c r="K97" s="537" t="e">
        <f t="shared" si="31"/>
        <v>#REF!</v>
      </c>
      <c r="L97" s="537" t="e">
        <f t="shared" si="32"/>
        <v>#REF!</v>
      </c>
      <c r="M97" s="537" t="e">
        <f t="shared" si="33"/>
        <v>#REF!</v>
      </c>
      <c r="N97" s="538" t="e">
        <f>N102+N$103+N$108</f>
        <v>#REF!</v>
      </c>
    </row>
    <row r="98" spans="1:14" s="544" customFormat="1" ht="30" customHeight="1">
      <c r="A98" s="1833" t="str">
        <f>NCong!A98</f>
        <v>II.1</v>
      </c>
      <c r="B98" s="1834" t="str">
        <f>NCong!B98</f>
        <v>CÁC NỘI DUNG THỰC HIỆN TẠI ĐỊA BÀN CẤP XÃ, PHƯỜNG</v>
      </c>
      <c r="C98" s="1835" t="s">
        <v>53</v>
      </c>
      <c r="D98" s="540">
        <v>1</v>
      </c>
      <c r="E98" s="542">
        <f>NCong!K98</f>
        <v>1339868.7900000003</v>
      </c>
      <c r="F98" s="542">
        <f>NCong!K99</f>
        <v>127346.15384615384</v>
      </c>
      <c r="G98" s="542">
        <f>Dcu!K$86</f>
        <v>14634.112551961542</v>
      </c>
      <c r="H98" s="542">
        <f>VLieu!I$49</f>
        <v>23374.9</v>
      </c>
      <c r="I98" s="542" t="e">
        <f>Tbi!#REF!</f>
        <v>#REF!</v>
      </c>
      <c r="J98" s="542" t="e">
        <f>Tbi!#REF!+Dcu!K$85</f>
        <v>#REF!</v>
      </c>
      <c r="K98" s="542" t="e">
        <f t="shared" si="31"/>
        <v>#REF!</v>
      </c>
      <c r="L98" s="542" t="e">
        <f t="shared" si="32"/>
        <v>#REF!</v>
      </c>
      <c r="M98" s="542" t="e">
        <f t="shared" si="33"/>
        <v>#REF!</v>
      </c>
      <c r="N98" s="543">
        <f>NCong!N98</f>
        <v>118798.23149999998</v>
      </c>
    </row>
    <row r="99" spans="1:14" s="544" customFormat="1" ht="30" customHeight="1">
      <c r="A99" s="1833"/>
      <c r="B99" s="1834"/>
      <c r="C99" s="1835"/>
      <c r="D99" s="540" t="s">
        <v>34</v>
      </c>
      <c r="E99" s="542">
        <f>NCong!K100</f>
        <v>1391186.7450000001</v>
      </c>
      <c r="F99" s="542">
        <f>NCong!K101</f>
        <v>140080.76923076925</v>
      </c>
      <c r="G99" s="542">
        <f>Dcu!K$86</f>
        <v>14634.112551961542</v>
      </c>
      <c r="H99" s="542">
        <f>VLieu!I$49</f>
        <v>23374.9</v>
      </c>
      <c r="I99" s="542" t="e">
        <f>Tbi!#REF!</f>
        <v>#REF!</v>
      </c>
      <c r="J99" s="542" t="e">
        <f>Tbi!#REF!+Dcu!K$85</f>
        <v>#REF!</v>
      </c>
      <c r="K99" s="542" t="e">
        <f t="shared" si="31"/>
        <v>#REF!</v>
      </c>
      <c r="L99" s="542" t="e">
        <f t="shared" si="32"/>
        <v>#REF!</v>
      </c>
      <c r="M99" s="542" t="e">
        <f t="shared" si="33"/>
        <v>#REF!</v>
      </c>
      <c r="N99" s="543">
        <f>NCong!N100</f>
        <v>123399.84149999998</v>
      </c>
    </row>
    <row r="100" spans="1:14" s="544" customFormat="1" ht="30" customHeight="1">
      <c r="A100" s="1833"/>
      <c r="B100" s="1834"/>
      <c r="C100" s="1835"/>
      <c r="D100" s="540" t="s">
        <v>35</v>
      </c>
      <c r="E100" s="542">
        <f>NCong!K102</f>
        <v>1447636.4955000002</v>
      </c>
      <c r="F100" s="542">
        <f>NCong!K103</f>
        <v>154088.84615384616</v>
      </c>
      <c r="G100" s="542">
        <f>Dcu!K$86</f>
        <v>14634.112551961542</v>
      </c>
      <c r="H100" s="542">
        <f>VLieu!I$49</f>
        <v>23374.9</v>
      </c>
      <c r="I100" s="542" t="e">
        <f>Tbi!#REF!</f>
        <v>#REF!</v>
      </c>
      <c r="J100" s="542" t="e">
        <f>Tbi!#REF!+Dcu!K$85</f>
        <v>#REF!</v>
      </c>
      <c r="K100" s="542" t="e">
        <f t="shared" si="31"/>
        <v>#REF!</v>
      </c>
      <c r="L100" s="542" t="e">
        <f t="shared" si="32"/>
        <v>#REF!</v>
      </c>
      <c r="M100" s="542" t="e">
        <f t="shared" si="33"/>
        <v>#REF!</v>
      </c>
      <c r="N100" s="543">
        <f>NCong!N102</f>
        <v>128461.61249999999</v>
      </c>
    </row>
    <row r="101" spans="1:14" s="544" customFormat="1" ht="30" customHeight="1">
      <c r="A101" s="1833"/>
      <c r="B101" s="1834"/>
      <c r="C101" s="1835"/>
      <c r="D101" s="540" t="s">
        <v>158</v>
      </c>
      <c r="E101" s="542" t="e">
        <f>NCong!#REF!</f>
        <v>#REF!</v>
      </c>
      <c r="F101" s="542" t="e">
        <f>NCong!#REF!</f>
        <v>#REF!</v>
      </c>
      <c r="G101" s="542">
        <f>Dcu!K$86</f>
        <v>14634.112551961542</v>
      </c>
      <c r="H101" s="542">
        <f>VLieu!I$49</f>
        <v>23374.9</v>
      </c>
      <c r="I101" s="542" t="e">
        <f>Tbi!#REF!</f>
        <v>#REF!</v>
      </c>
      <c r="J101" s="542" t="e">
        <f>Tbi!#REF!+Dcu!K$85</f>
        <v>#REF!</v>
      </c>
      <c r="K101" s="542" t="e">
        <f t="shared" si="31"/>
        <v>#REF!</v>
      </c>
      <c r="L101" s="542" t="e">
        <f t="shared" si="32"/>
        <v>#REF!</v>
      </c>
      <c r="M101" s="542" t="e">
        <f t="shared" si="33"/>
        <v>#REF!</v>
      </c>
      <c r="N101" s="543" t="e">
        <f>NCong!#REF!</f>
        <v>#REF!</v>
      </c>
    </row>
    <row r="102" spans="1:14" s="544" customFormat="1" ht="30" customHeight="1">
      <c r="A102" s="1833"/>
      <c r="B102" s="1834"/>
      <c r="C102" s="1835"/>
      <c r="D102" s="540" t="s">
        <v>159</v>
      </c>
      <c r="E102" s="542" t="e">
        <f>NCong!#REF!</f>
        <v>#REF!</v>
      </c>
      <c r="F102" s="542" t="e">
        <f>NCong!#REF!</f>
        <v>#REF!</v>
      </c>
      <c r="G102" s="542">
        <f>Dcu!K$86</f>
        <v>14634.112551961542</v>
      </c>
      <c r="H102" s="542">
        <f>VLieu!I$49</f>
        <v>23374.9</v>
      </c>
      <c r="I102" s="542" t="e">
        <f>Tbi!#REF!</f>
        <v>#REF!</v>
      </c>
      <c r="J102" s="542" t="e">
        <f>Tbi!#REF!+Dcu!K$85</f>
        <v>#REF!</v>
      </c>
      <c r="K102" s="542" t="e">
        <f t="shared" si="31"/>
        <v>#REF!</v>
      </c>
      <c r="L102" s="542" t="e">
        <f t="shared" si="32"/>
        <v>#REF!</v>
      </c>
      <c r="M102" s="542" t="e">
        <f t="shared" si="33"/>
        <v>#REF!</v>
      </c>
      <c r="N102" s="543" t="e">
        <f>NCong!#REF!</f>
        <v>#REF!</v>
      </c>
    </row>
    <row r="103" spans="1:14" s="544" customFormat="1" ht="30" customHeight="1">
      <c r="A103" s="539" t="e">
        <f>NCong!#REF!</f>
        <v>#REF!</v>
      </c>
      <c r="B103" s="545" t="e">
        <f>NCong!#REF!</f>
        <v>#REF!</v>
      </c>
      <c r="C103" s="540" t="s">
        <v>53</v>
      </c>
      <c r="D103" s="540"/>
      <c r="E103" s="542" t="e">
        <f>NCong!#REF!-E105-E107</f>
        <v>#REF!</v>
      </c>
      <c r="F103" s="542"/>
      <c r="G103" s="542">
        <f>Dcu!L$86-G105-G107</f>
        <v>0</v>
      </c>
      <c r="H103" s="542">
        <f>VLieu!J$34-H105-H107</f>
        <v>0</v>
      </c>
      <c r="I103" s="542" t="e">
        <f>Tbi!#REF!</f>
        <v>#REF!</v>
      </c>
      <c r="J103" s="542" t="e">
        <f>Tbi!#REF!+Dcu!L$85</f>
        <v>#REF!</v>
      </c>
      <c r="K103" s="542" t="e">
        <f t="shared" si="31"/>
        <v>#REF!</v>
      </c>
      <c r="L103" s="542" t="e">
        <f t="shared" si="32"/>
        <v>#REF!</v>
      </c>
      <c r="M103" s="542" t="e">
        <f t="shared" si="33"/>
        <v>#REF!</v>
      </c>
      <c r="N103" s="543" t="e">
        <f>NCong!#REF!-N105-N107</f>
        <v>#REF!</v>
      </c>
    </row>
    <row r="104" spans="1:14" ht="65.099999999999994" customHeight="1">
      <c r="A104" s="546">
        <f>NCong!A143</f>
        <v>19.100000000000001</v>
      </c>
      <c r="B104" s="559" t="str">
        <f>NCong!B143</f>
        <v>Chuyển thông tin theo hình thức liên thông</v>
      </c>
      <c r="C104" s="548" t="str">
        <f>NCong!C143</f>
        <v>Hồ sơ</v>
      </c>
      <c r="D104" s="548" t="str">
        <f>NCong!F143</f>
        <v>1-3</v>
      </c>
      <c r="E104" s="550">
        <f>NCong!I143</f>
        <v>0.13</v>
      </c>
      <c r="F104" s="550"/>
      <c r="G104" s="550"/>
      <c r="H104" s="550"/>
      <c r="I104" s="550"/>
      <c r="J104" s="550"/>
      <c r="K104" s="550">
        <f t="shared" si="31"/>
        <v>0.13</v>
      </c>
      <c r="L104" s="550">
        <f t="shared" si="32"/>
        <v>1.95E-2</v>
      </c>
      <c r="M104" s="550">
        <f t="shared" si="33"/>
        <v>0.14949999999999999</v>
      </c>
      <c r="N104" s="551">
        <f>NCong!R143</f>
        <v>2807.6923076923081</v>
      </c>
    </row>
    <row r="105" spans="1:14" s="558" customFormat="1" ht="35.1" customHeight="1">
      <c r="A105" s="553">
        <f>NCong!A144</f>
        <v>19.2</v>
      </c>
      <c r="B105" s="574" t="str">
        <f>NCong!B144</f>
        <v>Chuyển thông tin theo hình thức trực tiếp</v>
      </c>
      <c r="C105" s="555" t="str">
        <f>NCong!C144</f>
        <v>Hồ sơ</v>
      </c>
      <c r="D105" s="555" t="str">
        <f>NCong!F144</f>
        <v>1-3</v>
      </c>
      <c r="E105" s="556">
        <f>NCong!K144</f>
        <v>66690</v>
      </c>
      <c r="F105" s="556"/>
      <c r="G105" s="556"/>
      <c r="H105" s="556"/>
      <c r="I105" s="556"/>
      <c r="J105" s="556"/>
      <c r="K105" s="556">
        <f t="shared" si="31"/>
        <v>66690</v>
      </c>
      <c r="L105" s="556">
        <f t="shared" si="32"/>
        <v>10003.5</v>
      </c>
      <c r="M105" s="556">
        <f t="shared" si="33"/>
        <v>76693.5</v>
      </c>
      <c r="N105" s="557">
        <f>NCong!N144</f>
        <v>5112.9000000000005</v>
      </c>
    </row>
    <row r="106" spans="1:14" s="558" customFormat="1" ht="35.1" customHeight="1">
      <c r="A106" s="553">
        <f>NCong!A145</f>
        <v>20</v>
      </c>
      <c r="B106" s="574" t="str">
        <f>NCong!B145</f>
        <v>Nhận thông báo hoàn thành nghĩa vụ tài chính từ cơ quan thuế hoặc được ghi nợ nghĩa vụ tài chính</v>
      </c>
      <c r="C106" s="555">
        <f>NCong!C145</f>
        <v>0</v>
      </c>
      <c r="D106" s="555">
        <f>NCong!F145</f>
        <v>0</v>
      </c>
      <c r="E106" s="556">
        <f>NCong!K145</f>
        <v>0</v>
      </c>
      <c r="F106" s="556"/>
      <c r="G106" s="556"/>
      <c r="H106" s="556"/>
      <c r="I106" s="556"/>
      <c r="J106" s="556"/>
      <c r="K106" s="556">
        <f t="shared" si="31"/>
        <v>0</v>
      </c>
      <c r="L106" s="556">
        <f t="shared" si="32"/>
        <v>0</v>
      </c>
      <c r="M106" s="556">
        <f t="shared" si="33"/>
        <v>0</v>
      </c>
      <c r="N106" s="557">
        <f>NCong!N145</f>
        <v>0</v>
      </c>
    </row>
    <row r="107" spans="1:14" ht="43.5" customHeight="1">
      <c r="A107" s="546">
        <f>NCong!A151</f>
        <v>23.1</v>
      </c>
      <c r="B107" s="559" t="str">
        <f>NCong!B151</f>
        <v xml:space="preserve">Trực tiếp từ cơ sở dữ liệu dạng số </v>
      </c>
      <c r="C107" s="548" t="str">
        <f>NCong!C151</f>
        <v>Hồ sơ</v>
      </c>
      <c r="D107" s="548" t="str">
        <f>NCong!F151</f>
        <v>1-3</v>
      </c>
      <c r="E107" s="550">
        <f>NCong!K151</f>
        <v>29677.050000000003</v>
      </c>
      <c r="F107" s="550"/>
      <c r="G107" s="550"/>
      <c r="H107" s="550"/>
      <c r="I107" s="550"/>
      <c r="J107" s="550"/>
      <c r="K107" s="550">
        <f t="shared" si="31"/>
        <v>29677.050000000003</v>
      </c>
      <c r="L107" s="550">
        <f t="shared" si="32"/>
        <v>4451.5574999999999</v>
      </c>
      <c r="M107" s="550">
        <f t="shared" si="33"/>
        <v>34128.607500000006</v>
      </c>
      <c r="N107" s="551">
        <f>NCong!N151</f>
        <v>2556.4500000000003</v>
      </c>
    </row>
    <row r="108" spans="1:14" s="544" customFormat="1" ht="35.1" customHeight="1">
      <c r="A108" s="539" t="str">
        <f>NCong!A162</f>
        <v>II.2</v>
      </c>
      <c r="B108" s="545" t="str">
        <f>NCong!B162</f>
        <v>CÁC NỘI DUNG THỰC HIỆN TẠI ĐỊA BÀN CẤP TỈNH</v>
      </c>
      <c r="C108" s="540"/>
      <c r="D108" s="540"/>
      <c r="E108" s="542">
        <f>NCong!K162</f>
        <v>66690</v>
      </c>
      <c r="F108" s="542"/>
      <c r="G108" s="542"/>
      <c r="H108" s="542"/>
      <c r="I108" s="542"/>
      <c r="J108" s="542"/>
      <c r="K108" s="542">
        <f t="shared" si="31"/>
        <v>66690</v>
      </c>
      <c r="L108" s="542">
        <f t="shared" si="32"/>
        <v>10003.5</v>
      </c>
      <c r="M108" s="542">
        <f t="shared" si="33"/>
        <v>76693.5</v>
      </c>
      <c r="N108" s="543">
        <f>NCong!N162</f>
        <v>5112.9000000000005</v>
      </c>
    </row>
    <row r="109" spans="1:14" s="534" customFormat="1" ht="30" customHeight="1">
      <c r="A109" s="1830" t="s">
        <v>22</v>
      </c>
      <c r="B109" s="1831" t="s">
        <v>431</v>
      </c>
      <c r="C109" s="1832" t="s">
        <v>53</v>
      </c>
      <c r="D109" s="585">
        <v>1</v>
      </c>
      <c r="E109" s="537" t="e">
        <f>E114+E$103+E$108</f>
        <v>#REF!</v>
      </c>
      <c r="F109" s="537">
        <f>F114+F$103+F$108</f>
        <v>127346.15384615384</v>
      </c>
      <c r="G109" s="537">
        <f t="shared" ref="G109:J113" si="34">G114+G$103+G$108</f>
        <v>0</v>
      </c>
      <c r="H109" s="537">
        <f t="shared" si="34"/>
        <v>0</v>
      </c>
      <c r="I109" s="537" t="e">
        <f t="shared" si="34"/>
        <v>#REF!</v>
      </c>
      <c r="J109" s="537" t="e">
        <f t="shared" si="34"/>
        <v>#REF!</v>
      </c>
      <c r="K109" s="537" t="e">
        <f t="shared" si="31"/>
        <v>#REF!</v>
      </c>
      <c r="L109" s="537" t="e">
        <f t="shared" si="32"/>
        <v>#REF!</v>
      </c>
      <c r="M109" s="537" t="e">
        <f t="shared" si="33"/>
        <v>#REF!</v>
      </c>
      <c r="N109" s="538" t="e">
        <f>N114+N$103+N$108</f>
        <v>#REF!</v>
      </c>
    </row>
    <row r="110" spans="1:14" s="534" customFormat="1" ht="30" customHeight="1">
      <c r="A110" s="1830"/>
      <c r="B110" s="1831"/>
      <c r="C110" s="1832"/>
      <c r="D110" s="585" t="s">
        <v>34</v>
      </c>
      <c r="E110" s="537" t="e">
        <f>E115+E$103+E$108</f>
        <v>#REF!</v>
      </c>
      <c r="F110" s="537">
        <f>F115</f>
        <v>140080.76923076925</v>
      </c>
      <c r="G110" s="537">
        <f t="shared" si="34"/>
        <v>0</v>
      </c>
      <c r="H110" s="537">
        <f t="shared" si="34"/>
        <v>0</v>
      </c>
      <c r="I110" s="537" t="e">
        <f t="shared" si="34"/>
        <v>#REF!</v>
      </c>
      <c r="J110" s="537" t="e">
        <f t="shared" si="34"/>
        <v>#REF!</v>
      </c>
      <c r="K110" s="537" t="e">
        <f t="shared" ref="K110:K124" si="35">SUM(E110:J110)</f>
        <v>#REF!</v>
      </c>
      <c r="L110" s="537" t="e">
        <f t="shared" ref="L110:L124" si="36">K110*15%</f>
        <v>#REF!</v>
      </c>
      <c r="M110" s="537" t="e">
        <f t="shared" ref="M110:M124" si="37">K110+L110</f>
        <v>#REF!</v>
      </c>
      <c r="N110" s="538" t="e">
        <f>N115+N$103+N$108</f>
        <v>#REF!</v>
      </c>
    </row>
    <row r="111" spans="1:14" s="534" customFormat="1" ht="30" customHeight="1">
      <c r="A111" s="1830"/>
      <c r="B111" s="1831"/>
      <c r="C111" s="1832"/>
      <c r="D111" s="585" t="s">
        <v>35</v>
      </c>
      <c r="E111" s="537" t="e">
        <f>E116+E$103+E$108</f>
        <v>#REF!</v>
      </c>
      <c r="F111" s="537">
        <f>F116</f>
        <v>154088.84615384616</v>
      </c>
      <c r="G111" s="537">
        <f t="shared" si="34"/>
        <v>0</v>
      </c>
      <c r="H111" s="537">
        <f t="shared" si="34"/>
        <v>0</v>
      </c>
      <c r="I111" s="537" t="e">
        <f t="shared" si="34"/>
        <v>#REF!</v>
      </c>
      <c r="J111" s="537" t="e">
        <f t="shared" si="34"/>
        <v>#REF!</v>
      </c>
      <c r="K111" s="537" t="e">
        <f t="shared" si="35"/>
        <v>#REF!</v>
      </c>
      <c r="L111" s="537" t="e">
        <f t="shared" si="36"/>
        <v>#REF!</v>
      </c>
      <c r="M111" s="537" t="e">
        <f t="shared" si="37"/>
        <v>#REF!</v>
      </c>
      <c r="N111" s="538" t="e">
        <f>N116+N$103+N$108</f>
        <v>#REF!</v>
      </c>
    </row>
    <row r="112" spans="1:14" s="534" customFormat="1" ht="30" customHeight="1">
      <c r="A112" s="1830"/>
      <c r="B112" s="1831"/>
      <c r="C112" s="1832"/>
      <c r="D112" s="585" t="s">
        <v>158</v>
      </c>
      <c r="E112" s="537" t="e">
        <f>E117+E$103+E$108</f>
        <v>#REF!</v>
      </c>
      <c r="F112" s="537" t="e">
        <f>F117</f>
        <v>#REF!</v>
      </c>
      <c r="G112" s="537">
        <f t="shared" si="34"/>
        <v>0</v>
      </c>
      <c r="H112" s="537">
        <f t="shared" si="34"/>
        <v>0</v>
      </c>
      <c r="I112" s="537" t="e">
        <f t="shared" si="34"/>
        <v>#REF!</v>
      </c>
      <c r="J112" s="537" t="e">
        <f t="shared" si="34"/>
        <v>#REF!</v>
      </c>
      <c r="K112" s="537" t="e">
        <f t="shared" si="35"/>
        <v>#REF!</v>
      </c>
      <c r="L112" s="537" t="e">
        <f t="shared" si="36"/>
        <v>#REF!</v>
      </c>
      <c r="M112" s="537" t="e">
        <f t="shared" si="37"/>
        <v>#REF!</v>
      </c>
      <c r="N112" s="538" t="e">
        <f>N117+N$103+N$108</f>
        <v>#REF!</v>
      </c>
    </row>
    <row r="113" spans="1:14" s="534" customFormat="1" ht="30" customHeight="1">
      <c r="A113" s="1830"/>
      <c r="B113" s="1831"/>
      <c r="C113" s="1832"/>
      <c r="D113" s="585" t="s">
        <v>159</v>
      </c>
      <c r="E113" s="537" t="e">
        <f>E118+E$103+E$108</f>
        <v>#REF!</v>
      </c>
      <c r="F113" s="537" t="e">
        <f>F118</f>
        <v>#REF!</v>
      </c>
      <c r="G113" s="537">
        <f t="shared" si="34"/>
        <v>0</v>
      </c>
      <c r="H113" s="537">
        <f t="shared" si="34"/>
        <v>0</v>
      </c>
      <c r="I113" s="537" t="e">
        <f t="shared" si="34"/>
        <v>#REF!</v>
      </c>
      <c r="J113" s="537" t="e">
        <f t="shared" si="34"/>
        <v>#REF!</v>
      </c>
      <c r="K113" s="537" t="e">
        <f t="shared" si="35"/>
        <v>#REF!</v>
      </c>
      <c r="L113" s="537" t="e">
        <f t="shared" si="36"/>
        <v>#REF!</v>
      </c>
      <c r="M113" s="537" t="e">
        <f t="shared" si="37"/>
        <v>#REF!</v>
      </c>
      <c r="N113" s="538" t="e">
        <f>N118+N$103+N$108</f>
        <v>#REF!</v>
      </c>
    </row>
    <row r="114" spans="1:14" s="544" customFormat="1" ht="30" customHeight="1">
      <c r="A114" s="1833" t="str">
        <f t="shared" ref="A114:F124" si="38">A98</f>
        <v>II.1</v>
      </c>
      <c r="B114" s="1834" t="str">
        <f t="shared" si="38"/>
        <v>CÁC NỘI DUNG THỰC HIỆN TẠI ĐỊA BÀN CẤP XÃ, PHƯỜNG</v>
      </c>
      <c r="C114" s="1835" t="str">
        <f t="shared" si="38"/>
        <v>Hồ sơ</v>
      </c>
      <c r="D114" s="540">
        <f t="shared" si="38"/>
        <v>1</v>
      </c>
      <c r="E114" s="542">
        <f t="shared" si="38"/>
        <v>1339868.7900000003</v>
      </c>
      <c r="F114" s="542">
        <f t="shared" si="38"/>
        <v>127346.15384615384</v>
      </c>
      <c r="G114" s="542">
        <f>Dcu!M$86</f>
        <v>0</v>
      </c>
      <c r="H114" s="542">
        <f>VLieu!K$49</f>
        <v>0</v>
      </c>
      <c r="I114" s="542" t="e">
        <f>Tbi!#REF!</f>
        <v>#REF!</v>
      </c>
      <c r="J114" s="542" t="e">
        <f>Tbi!#REF!+Dcu!M$85</f>
        <v>#REF!</v>
      </c>
      <c r="K114" s="542" t="e">
        <f t="shared" si="35"/>
        <v>#REF!</v>
      </c>
      <c r="L114" s="542" t="e">
        <f t="shared" si="36"/>
        <v>#REF!</v>
      </c>
      <c r="M114" s="542" t="e">
        <f t="shared" si="37"/>
        <v>#REF!</v>
      </c>
      <c r="N114" s="543">
        <f t="shared" ref="N114:N124" si="39">N98</f>
        <v>118798.23149999998</v>
      </c>
    </row>
    <row r="115" spans="1:14" s="544" customFormat="1" ht="30" customHeight="1">
      <c r="A115" s="1833">
        <f t="shared" si="38"/>
        <v>0</v>
      </c>
      <c r="B115" s="1834">
        <f t="shared" si="38"/>
        <v>0</v>
      </c>
      <c r="C115" s="1835">
        <f t="shared" si="38"/>
        <v>0</v>
      </c>
      <c r="D115" s="540" t="str">
        <f t="shared" si="38"/>
        <v>2</v>
      </c>
      <c r="E115" s="542">
        <f t="shared" si="38"/>
        <v>1391186.7450000001</v>
      </c>
      <c r="F115" s="542">
        <f t="shared" si="38"/>
        <v>140080.76923076925</v>
      </c>
      <c r="G115" s="542">
        <f>Dcu!M$86</f>
        <v>0</v>
      </c>
      <c r="H115" s="542">
        <f>VLieu!K$49</f>
        <v>0</v>
      </c>
      <c r="I115" s="542" t="e">
        <f>Tbi!#REF!</f>
        <v>#REF!</v>
      </c>
      <c r="J115" s="542" t="e">
        <f>Tbi!#REF!+Dcu!M$85</f>
        <v>#REF!</v>
      </c>
      <c r="K115" s="542" t="e">
        <f t="shared" si="35"/>
        <v>#REF!</v>
      </c>
      <c r="L115" s="542" t="e">
        <f t="shared" si="36"/>
        <v>#REF!</v>
      </c>
      <c r="M115" s="542" t="e">
        <f t="shared" si="37"/>
        <v>#REF!</v>
      </c>
      <c r="N115" s="543">
        <f t="shared" si="39"/>
        <v>123399.84149999998</v>
      </c>
    </row>
    <row r="116" spans="1:14" s="544" customFormat="1" ht="30" customHeight="1">
      <c r="A116" s="1833">
        <f t="shared" si="38"/>
        <v>0</v>
      </c>
      <c r="B116" s="1834">
        <f t="shared" si="38"/>
        <v>0</v>
      </c>
      <c r="C116" s="1835">
        <f t="shared" si="38"/>
        <v>0</v>
      </c>
      <c r="D116" s="540" t="str">
        <f t="shared" si="38"/>
        <v>3</v>
      </c>
      <c r="E116" s="542">
        <f t="shared" si="38"/>
        <v>1447636.4955000002</v>
      </c>
      <c r="F116" s="542">
        <f t="shared" si="38"/>
        <v>154088.84615384616</v>
      </c>
      <c r="G116" s="542">
        <f>Dcu!M$86</f>
        <v>0</v>
      </c>
      <c r="H116" s="542">
        <f>VLieu!K$49</f>
        <v>0</v>
      </c>
      <c r="I116" s="542" t="e">
        <f>Tbi!#REF!</f>
        <v>#REF!</v>
      </c>
      <c r="J116" s="542" t="e">
        <f>Tbi!#REF!+Dcu!M$85</f>
        <v>#REF!</v>
      </c>
      <c r="K116" s="542" t="e">
        <f t="shared" si="35"/>
        <v>#REF!</v>
      </c>
      <c r="L116" s="542" t="e">
        <f t="shared" si="36"/>
        <v>#REF!</v>
      </c>
      <c r="M116" s="542" t="e">
        <f t="shared" si="37"/>
        <v>#REF!</v>
      </c>
      <c r="N116" s="543">
        <f t="shared" si="39"/>
        <v>128461.61249999999</v>
      </c>
    </row>
    <row r="117" spans="1:14" s="544" customFormat="1" ht="30" customHeight="1">
      <c r="A117" s="1833">
        <f t="shared" si="38"/>
        <v>0</v>
      </c>
      <c r="B117" s="1834">
        <f t="shared" si="38"/>
        <v>0</v>
      </c>
      <c r="C117" s="1835">
        <f t="shared" si="38"/>
        <v>0</v>
      </c>
      <c r="D117" s="540" t="str">
        <f t="shared" si="38"/>
        <v>4</v>
      </c>
      <c r="E117" s="542" t="e">
        <f t="shared" si="38"/>
        <v>#REF!</v>
      </c>
      <c r="F117" s="542" t="e">
        <f t="shared" si="38"/>
        <v>#REF!</v>
      </c>
      <c r="G117" s="542">
        <f>Dcu!M$86</f>
        <v>0</v>
      </c>
      <c r="H117" s="542">
        <f>VLieu!K$49</f>
        <v>0</v>
      </c>
      <c r="I117" s="542" t="e">
        <f>Tbi!#REF!</f>
        <v>#REF!</v>
      </c>
      <c r="J117" s="542" t="e">
        <f>Tbi!#REF!+Dcu!M$85</f>
        <v>#REF!</v>
      </c>
      <c r="K117" s="542" t="e">
        <f t="shared" si="35"/>
        <v>#REF!</v>
      </c>
      <c r="L117" s="542" t="e">
        <f t="shared" si="36"/>
        <v>#REF!</v>
      </c>
      <c r="M117" s="542" t="e">
        <f t="shared" si="37"/>
        <v>#REF!</v>
      </c>
      <c r="N117" s="543" t="e">
        <f t="shared" si="39"/>
        <v>#REF!</v>
      </c>
    </row>
    <row r="118" spans="1:14" s="544" customFormat="1" ht="30" customHeight="1">
      <c r="A118" s="1833">
        <f t="shared" si="38"/>
        <v>0</v>
      </c>
      <c r="B118" s="1834">
        <f t="shared" si="38"/>
        <v>0</v>
      </c>
      <c r="C118" s="1835">
        <f t="shared" si="38"/>
        <v>0</v>
      </c>
      <c r="D118" s="540" t="str">
        <f t="shared" si="38"/>
        <v>5</v>
      </c>
      <c r="E118" s="542" t="e">
        <f t="shared" si="38"/>
        <v>#REF!</v>
      </c>
      <c r="F118" s="542" t="e">
        <f t="shared" si="38"/>
        <v>#REF!</v>
      </c>
      <c r="G118" s="542">
        <f>Dcu!M$86</f>
        <v>0</v>
      </c>
      <c r="H118" s="542">
        <f>VLieu!K$49</f>
        <v>0</v>
      </c>
      <c r="I118" s="542" t="e">
        <f>Tbi!#REF!</f>
        <v>#REF!</v>
      </c>
      <c r="J118" s="542" t="e">
        <f>Tbi!#REF!+Dcu!M$85</f>
        <v>#REF!</v>
      </c>
      <c r="K118" s="542" t="e">
        <f t="shared" si="35"/>
        <v>#REF!</v>
      </c>
      <c r="L118" s="542" t="e">
        <f t="shared" si="36"/>
        <v>#REF!</v>
      </c>
      <c r="M118" s="542" t="e">
        <f t="shared" si="37"/>
        <v>#REF!</v>
      </c>
      <c r="N118" s="543" t="e">
        <f t="shared" si="39"/>
        <v>#REF!</v>
      </c>
    </row>
    <row r="119" spans="1:14" s="544" customFormat="1" ht="39.950000000000003" customHeight="1">
      <c r="A119" s="539" t="e">
        <f t="shared" si="38"/>
        <v>#REF!</v>
      </c>
      <c r="B119" s="545" t="e">
        <f t="shared" si="38"/>
        <v>#REF!</v>
      </c>
      <c r="C119" s="540" t="str">
        <f t="shared" si="38"/>
        <v>Hồ sơ</v>
      </c>
      <c r="D119" s="540">
        <f t="shared" si="38"/>
        <v>0</v>
      </c>
      <c r="E119" s="542" t="e">
        <f t="shared" si="38"/>
        <v>#REF!</v>
      </c>
      <c r="F119" s="542">
        <f t="shared" si="38"/>
        <v>0</v>
      </c>
      <c r="G119" s="542">
        <f>Dcu!N$86</f>
        <v>0</v>
      </c>
      <c r="H119" s="542">
        <f>VLieu!L49</f>
        <v>0</v>
      </c>
      <c r="I119" s="542">
        <f>Tbi!I$38</f>
        <v>10374.665399999998</v>
      </c>
      <c r="J119" s="542">
        <f>Tbi!I$45+Dcu!N$85</f>
        <v>13089.945004500001</v>
      </c>
      <c r="K119" s="542" t="e">
        <f t="shared" si="35"/>
        <v>#REF!</v>
      </c>
      <c r="L119" s="542" t="e">
        <f t="shared" si="36"/>
        <v>#REF!</v>
      </c>
      <c r="M119" s="542" t="e">
        <f t="shared" si="37"/>
        <v>#REF!</v>
      </c>
      <c r="N119" s="543" t="e">
        <f t="shared" si="39"/>
        <v>#REF!</v>
      </c>
    </row>
    <row r="120" spans="1:14" ht="65.099999999999994" customHeight="1">
      <c r="A120" s="546">
        <f t="shared" si="38"/>
        <v>19.100000000000001</v>
      </c>
      <c r="B120" s="559" t="str">
        <f t="shared" si="38"/>
        <v>Chuyển thông tin theo hình thức liên thông</v>
      </c>
      <c r="C120" s="548" t="str">
        <f t="shared" si="38"/>
        <v>Hồ sơ</v>
      </c>
      <c r="D120" s="548" t="str">
        <f t="shared" si="38"/>
        <v>1-3</v>
      </c>
      <c r="E120" s="550">
        <f t="shared" si="38"/>
        <v>0.13</v>
      </c>
      <c r="F120" s="550">
        <f t="shared" si="38"/>
        <v>0</v>
      </c>
      <c r="G120" s="550"/>
      <c r="H120" s="550"/>
      <c r="I120" s="550"/>
      <c r="J120" s="550"/>
      <c r="K120" s="550">
        <f t="shared" si="35"/>
        <v>0.13</v>
      </c>
      <c r="L120" s="550">
        <f t="shared" si="36"/>
        <v>1.95E-2</v>
      </c>
      <c r="M120" s="550">
        <f t="shared" si="37"/>
        <v>0.14949999999999999</v>
      </c>
      <c r="N120" s="551">
        <f t="shared" si="39"/>
        <v>2807.6923076923081</v>
      </c>
    </row>
    <row r="121" spans="1:14" s="558" customFormat="1" ht="30" customHeight="1">
      <c r="A121" s="553">
        <f t="shared" si="38"/>
        <v>19.2</v>
      </c>
      <c r="B121" s="574" t="str">
        <f t="shared" si="38"/>
        <v>Chuyển thông tin theo hình thức trực tiếp</v>
      </c>
      <c r="C121" s="555" t="str">
        <f t="shared" si="38"/>
        <v>Hồ sơ</v>
      </c>
      <c r="D121" s="555" t="str">
        <f t="shared" si="38"/>
        <v>1-3</v>
      </c>
      <c r="E121" s="556">
        <f t="shared" si="38"/>
        <v>66690</v>
      </c>
      <c r="F121" s="556">
        <f t="shared" si="38"/>
        <v>0</v>
      </c>
      <c r="G121" s="556"/>
      <c r="H121" s="556"/>
      <c r="I121" s="556"/>
      <c r="J121" s="556"/>
      <c r="K121" s="556">
        <f t="shared" si="35"/>
        <v>66690</v>
      </c>
      <c r="L121" s="556">
        <f t="shared" si="36"/>
        <v>10003.5</v>
      </c>
      <c r="M121" s="556">
        <f t="shared" si="37"/>
        <v>76693.5</v>
      </c>
      <c r="N121" s="557">
        <f t="shared" si="39"/>
        <v>5112.9000000000005</v>
      </c>
    </row>
    <row r="122" spans="1:14" s="558" customFormat="1" ht="30" customHeight="1">
      <c r="A122" s="553">
        <f t="shared" si="38"/>
        <v>20</v>
      </c>
      <c r="B122" s="574" t="str">
        <f t="shared" si="38"/>
        <v>Nhận thông báo hoàn thành nghĩa vụ tài chính từ cơ quan thuế hoặc được ghi nợ nghĩa vụ tài chính</v>
      </c>
      <c r="C122" s="555">
        <f t="shared" si="38"/>
        <v>0</v>
      </c>
      <c r="D122" s="555">
        <f t="shared" si="38"/>
        <v>0</v>
      </c>
      <c r="E122" s="556">
        <f t="shared" si="38"/>
        <v>0</v>
      </c>
      <c r="F122" s="556">
        <f t="shared" si="38"/>
        <v>0</v>
      </c>
      <c r="G122" s="556"/>
      <c r="H122" s="556"/>
      <c r="I122" s="556"/>
      <c r="J122" s="556"/>
      <c r="K122" s="556">
        <f t="shared" si="35"/>
        <v>0</v>
      </c>
      <c r="L122" s="556">
        <f t="shared" si="36"/>
        <v>0</v>
      </c>
      <c r="M122" s="556">
        <f t="shared" si="37"/>
        <v>0</v>
      </c>
      <c r="N122" s="557">
        <f t="shared" si="39"/>
        <v>0</v>
      </c>
    </row>
    <row r="123" spans="1:14" ht="30" customHeight="1">
      <c r="A123" s="546">
        <f t="shared" si="38"/>
        <v>23.1</v>
      </c>
      <c r="B123" s="559" t="str">
        <f t="shared" si="38"/>
        <v xml:space="preserve">Trực tiếp từ cơ sở dữ liệu dạng số </v>
      </c>
      <c r="C123" s="548" t="str">
        <f t="shared" si="38"/>
        <v>Hồ sơ</v>
      </c>
      <c r="D123" s="548" t="str">
        <f t="shared" si="38"/>
        <v>1-3</v>
      </c>
      <c r="E123" s="550">
        <f t="shared" si="38"/>
        <v>29677.050000000003</v>
      </c>
      <c r="F123" s="550">
        <f t="shared" si="38"/>
        <v>0</v>
      </c>
      <c r="G123" s="550"/>
      <c r="H123" s="550"/>
      <c r="I123" s="550"/>
      <c r="J123" s="550"/>
      <c r="K123" s="550">
        <f t="shared" si="35"/>
        <v>29677.050000000003</v>
      </c>
      <c r="L123" s="550">
        <f t="shared" si="36"/>
        <v>4451.5574999999999</v>
      </c>
      <c r="M123" s="550">
        <f t="shared" si="37"/>
        <v>34128.607500000006</v>
      </c>
      <c r="N123" s="551">
        <f t="shared" si="39"/>
        <v>2556.4500000000003</v>
      </c>
    </row>
    <row r="124" spans="1:14" s="544" customFormat="1" ht="39.950000000000003" customHeight="1">
      <c r="A124" s="539" t="str">
        <f t="shared" si="38"/>
        <v>II.2</v>
      </c>
      <c r="B124" s="545" t="str">
        <f t="shared" si="38"/>
        <v>CÁC NỘI DUNG THỰC HIỆN TẠI ĐỊA BÀN CẤP TỈNH</v>
      </c>
      <c r="C124" s="540">
        <f t="shared" si="38"/>
        <v>0</v>
      </c>
      <c r="D124" s="540">
        <f t="shared" si="38"/>
        <v>0</v>
      </c>
      <c r="E124" s="542">
        <f t="shared" si="38"/>
        <v>66690</v>
      </c>
      <c r="F124" s="542">
        <f t="shared" si="38"/>
        <v>0</v>
      </c>
      <c r="G124" s="542"/>
      <c r="H124" s="542"/>
      <c r="I124" s="542"/>
      <c r="J124" s="542"/>
      <c r="K124" s="542">
        <f t="shared" si="35"/>
        <v>66690</v>
      </c>
      <c r="L124" s="542">
        <f t="shared" si="36"/>
        <v>10003.5</v>
      </c>
      <c r="M124" s="542">
        <f t="shared" si="37"/>
        <v>76693.5</v>
      </c>
      <c r="N124" s="543">
        <f t="shared" si="39"/>
        <v>5112.9000000000005</v>
      </c>
    </row>
    <row r="125" spans="1:14" s="544" customFormat="1" ht="30" customHeight="1">
      <c r="A125" s="539"/>
      <c r="B125" s="579" t="s">
        <v>258</v>
      </c>
      <c r="C125" s="569"/>
      <c r="D125" s="569"/>
      <c r="E125" s="570"/>
      <c r="F125" s="570"/>
      <c r="G125" s="570"/>
      <c r="H125" s="586"/>
      <c r="I125" s="586"/>
      <c r="J125" s="586"/>
      <c r="K125" s="586">
        <v>0</v>
      </c>
      <c r="L125" s="586">
        <v>0</v>
      </c>
      <c r="M125" s="586">
        <v>0</v>
      </c>
      <c r="N125" s="571"/>
    </row>
    <row r="126" spans="1:14" s="603" customFormat="1" ht="50.1" customHeight="1">
      <c r="A126" s="600">
        <v>1</v>
      </c>
      <c r="B126" s="1736" t="s">
        <v>261</v>
      </c>
      <c r="C126" s="1737"/>
      <c r="D126" s="1737"/>
      <c r="E126" s="1737"/>
      <c r="F126" s="1737"/>
      <c r="G126" s="1737"/>
      <c r="H126" s="1737"/>
      <c r="I126" s="1737"/>
      <c r="J126" s="1819"/>
      <c r="K126" s="601">
        <v>0</v>
      </c>
      <c r="L126" s="601">
        <v>0</v>
      </c>
      <c r="M126" s="601">
        <v>0</v>
      </c>
      <c r="N126" s="602"/>
    </row>
    <row r="127" spans="1:14" s="544" customFormat="1" ht="30" customHeight="1">
      <c r="A127" s="539"/>
      <c r="B127" s="1813" t="s">
        <v>261</v>
      </c>
      <c r="C127" s="1836" t="s">
        <v>53</v>
      </c>
      <c r="D127" s="548">
        <v>1</v>
      </c>
      <c r="E127" s="550">
        <v>354326.93670000008</v>
      </c>
      <c r="F127" s="550">
        <v>74307.692307692298</v>
      </c>
      <c r="G127" s="550"/>
      <c r="H127" s="547"/>
      <c r="I127" s="547"/>
      <c r="J127" s="547"/>
      <c r="K127" s="547">
        <v>428634.62900769239</v>
      </c>
      <c r="L127" s="547">
        <v>64295.194351153856</v>
      </c>
      <c r="M127" s="547">
        <v>492929.82335884625</v>
      </c>
      <c r="N127" s="551">
        <v>10444.597499999998</v>
      </c>
    </row>
    <row r="128" spans="1:14" s="544" customFormat="1" ht="30" customHeight="1">
      <c r="A128" s="539"/>
      <c r="B128" s="1813"/>
      <c r="C128" s="1836"/>
      <c r="D128" s="548" t="s">
        <v>34</v>
      </c>
      <c r="E128" s="550">
        <v>363550.00170000002</v>
      </c>
      <c r="F128" s="550">
        <v>81738.461538461546</v>
      </c>
      <c r="G128" s="550"/>
      <c r="H128" s="547"/>
      <c r="I128" s="547"/>
      <c r="J128" s="547"/>
      <c r="K128" s="547">
        <v>445288.46323846158</v>
      </c>
      <c r="L128" s="547">
        <v>66793.26948576924</v>
      </c>
      <c r="M128" s="547">
        <v>512081.73272423085</v>
      </c>
      <c r="N128" s="551">
        <v>10807.747499999999</v>
      </c>
    </row>
    <row r="129" spans="1:14" s="544" customFormat="1" ht="30" customHeight="1">
      <c r="A129" s="546">
        <v>2</v>
      </c>
      <c r="B129" s="1813"/>
      <c r="C129" s="1836"/>
      <c r="D129" s="548" t="s">
        <v>35</v>
      </c>
      <c r="E129" s="550">
        <v>373695.37320000009</v>
      </c>
      <c r="F129" s="550">
        <v>89912.307692307688</v>
      </c>
      <c r="G129" s="550"/>
      <c r="H129" s="547"/>
      <c r="I129" s="547"/>
      <c r="J129" s="547"/>
      <c r="K129" s="547">
        <v>463607.68089230778</v>
      </c>
      <c r="L129" s="547">
        <v>69541.152133846161</v>
      </c>
      <c r="M129" s="547">
        <v>533148.83302615397</v>
      </c>
      <c r="N129" s="551">
        <v>11207.2125</v>
      </c>
    </row>
    <row r="130" spans="1:14" s="544" customFormat="1" ht="30" customHeight="1">
      <c r="A130" s="539"/>
      <c r="B130" s="1813"/>
      <c r="C130" s="1836"/>
      <c r="D130" s="548" t="s">
        <v>158</v>
      </c>
      <c r="E130" s="550">
        <v>384865.52970000013</v>
      </c>
      <c r="F130" s="550">
        <v>98935.384615384624</v>
      </c>
      <c r="G130" s="550"/>
      <c r="H130" s="547"/>
      <c r="I130" s="547"/>
      <c r="J130" s="547"/>
      <c r="K130" s="547">
        <v>483800.91431538475</v>
      </c>
      <c r="L130" s="547">
        <v>72570.137147307716</v>
      </c>
      <c r="M130" s="547">
        <v>556371.05146269244</v>
      </c>
      <c r="N130" s="551">
        <v>11647.027499999998</v>
      </c>
    </row>
    <row r="131" spans="1:14" s="544" customFormat="1" ht="30" customHeight="1">
      <c r="A131" s="539"/>
      <c r="B131" s="1813"/>
      <c r="C131" s="1836"/>
      <c r="D131" s="548" t="s">
        <v>159</v>
      </c>
      <c r="E131" s="550">
        <v>396548.07870000013</v>
      </c>
      <c r="F131" s="550">
        <v>108807.6923076923</v>
      </c>
      <c r="G131" s="550"/>
      <c r="H131" s="547"/>
      <c r="I131" s="547"/>
      <c r="J131" s="547"/>
      <c r="K131" s="547">
        <v>505355.77100769244</v>
      </c>
      <c r="L131" s="547">
        <v>75803.365651153857</v>
      </c>
      <c r="M131" s="547">
        <v>581159.13665884628</v>
      </c>
      <c r="N131" s="551">
        <v>12107.0175</v>
      </c>
    </row>
    <row r="132" spans="1:14" s="544" customFormat="1" ht="30" customHeight="1">
      <c r="A132" s="539"/>
      <c r="B132" s="1813" t="s">
        <v>262</v>
      </c>
      <c r="C132" s="1836" t="s">
        <v>53</v>
      </c>
      <c r="D132" s="548">
        <v>1</v>
      </c>
      <c r="E132" s="550">
        <v>1181089.5290000003</v>
      </c>
      <c r="F132" s="550">
        <v>74307.692307692298</v>
      </c>
      <c r="G132" s="550"/>
      <c r="H132" s="547"/>
      <c r="I132" s="547"/>
      <c r="J132" s="547"/>
      <c r="K132" s="547">
        <v>1255397.2213076926</v>
      </c>
      <c r="L132" s="547">
        <v>188309.58319615389</v>
      </c>
      <c r="M132" s="547">
        <v>1443706.8045038464</v>
      </c>
      <c r="N132" s="551">
        <v>34815.324999999997</v>
      </c>
    </row>
    <row r="133" spans="1:14" s="544" customFormat="1" ht="30" customHeight="1">
      <c r="A133" s="539"/>
      <c r="B133" s="1813"/>
      <c r="C133" s="1836">
        <v>0</v>
      </c>
      <c r="D133" s="548" t="s">
        <v>34</v>
      </c>
      <c r="E133" s="550">
        <v>1211833.0790000001</v>
      </c>
      <c r="F133" s="550">
        <v>81738.461538461546</v>
      </c>
      <c r="G133" s="550"/>
      <c r="H133" s="547"/>
      <c r="I133" s="547"/>
      <c r="J133" s="547"/>
      <c r="K133" s="547">
        <v>1293571.5405384616</v>
      </c>
      <c r="L133" s="547">
        <v>194035.73108076924</v>
      </c>
      <c r="M133" s="547">
        <v>1487607.271619231</v>
      </c>
      <c r="N133" s="551">
        <v>36025.824999999997</v>
      </c>
    </row>
    <row r="134" spans="1:14" s="544" customFormat="1" ht="30" customHeight="1">
      <c r="A134" s="546">
        <v>3</v>
      </c>
      <c r="B134" s="1813"/>
      <c r="C134" s="1836">
        <v>0</v>
      </c>
      <c r="D134" s="548" t="s">
        <v>35</v>
      </c>
      <c r="E134" s="550">
        <v>1245650.9840000004</v>
      </c>
      <c r="F134" s="550">
        <v>89912.307692307688</v>
      </c>
      <c r="G134" s="550"/>
      <c r="H134" s="547"/>
      <c r="I134" s="547"/>
      <c r="J134" s="547"/>
      <c r="K134" s="547">
        <v>1335563.2916923082</v>
      </c>
      <c r="L134" s="547">
        <v>200334.49375384621</v>
      </c>
      <c r="M134" s="547">
        <v>1535897.7854461544</v>
      </c>
      <c r="N134" s="551">
        <v>37357.375</v>
      </c>
    </row>
    <row r="135" spans="1:14" s="544" customFormat="1" ht="30" customHeight="1">
      <c r="A135" s="539"/>
      <c r="B135" s="1813"/>
      <c r="C135" s="1836">
        <v>0</v>
      </c>
      <c r="D135" s="548" t="s">
        <v>158</v>
      </c>
      <c r="E135" s="550">
        <v>1282884.8390000004</v>
      </c>
      <c r="F135" s="550">
        <v>98935.384615384624</v>
      </c>
      <c r="G135" s="550"/>
      <c r="H135" s="547"/>
      <c r="I135" s="547"/>
      <c r="J135" s="547"/>
      <c r="K135" s="547">
        <v>1381820.2236153851</v>
      </c>
      <c r="L135" s="547">
        <v>207273.03354230776</v>
      </c>
      <c r="M135" s="547">
        <v>1589093.2571576929</v>
      </c>
      <c r="N135" s="551">
        <v>38823.424999999996</v>
      </c>
    </row>
    <row r="136" spans="1:14" s="544" customFormat="1" ht="30" customHeight="1">
      <c r="A136" s="539"/>
      <c r="B136" s="1813"/>
      <c r="C136" s="1836">
        <v>0</v>
      </c>
      <c r="D136" s="548" t="s">
        <v>159</v>
      </c>
      <c r="E136" s="550">
        <v>1321826.6690000005</v>
      </c>
      <c r="F136" s="550">
        <v>108807.6923076923</v>
      </c>
      <c r="G136" s="550"/>
      <c r="H136" s="547"/>
      <c r="I136" s="547"/>
      <c r="J136" s="547"/>
      <c r="K136" s="547">
        <v>1430634.3613076927</v>
      </c>
      <c r="L136" s="547">
        <v>214595.15419615389</v>
      </c>
      <c r="M136" s="547">
        <v>1645229.5155038466</v>
      </c>
      <c r="N136" s="551">
        <v>40356.724999999999</v>
      </c>
    </row>
    <row r="137" spans="1:14" s="544" customFormat="1" ht="30" customHeight="1">
      <c r="A137" s="539"/>
      <c r="B137" s="1813" t="s">
        <v>263</v>
      </c>
      <c r="C137" s="1836" t="s">
        <v>53</v>
      </c>
      <c r="D137" s="548">
        <v>1</v>
      </c>
      <c r="E137" s="550">
        <v>1062981.9540000001</v>
      </c>
      <c r="F137" s="550">
        <v>66876.923076923063</v>
      </c>
      <c r="G137" s="550"/>
      <c r="H137" s="547"/>
      <c r="I137" s="547"/>
      <c r="J137" s="547"/>
      <c r="K137" s="547">
        <v>1129858.8770769231</v>
      </c>
      <c r="L137" s="547">
        <v>169478.83156153848</v>
      </c>
      <c r="M137" s="547">
        <v>1299337.7086384615</v>
      </c>
      <c r="N137" s="551">
        <v>39020.467499999999</v>
      </c>
    </row>
    <row r="138" spans="1:14" s="544" customFormat="1" ht="30" customHeight="1">
      <c r="A138" s="539"/>
      <c r="B138" s="1813"/>
      <c r="C138" s="1836">
        <v>0</v>
      </c>
      <c r="D138" s="548" t="s">
        <v>34</v>
      </c>
      <c r="E138" s="550">
        <v>1090651.149</v>
      </c>
      <c r="F138" s="550">
        <v>73564.61538461539</v>
      </c>
      <c r="G138" s="550"/>
      <c r="H138" s="547"/>
      <c r="I138" s="547"/>
      <c r="J138" s="547"/>
      <c r="K138" s="547">
        <v>1164215.7643846155</v>
      </c>
      <c r="L138" s="547">
        <v>174632.36465769232</v>
      </c>
      <c r="M138" s="547">
        <v>1338848.1290423078</v>
      </c>
      <c r="N138" s="551">
        <v>40109.917499999996</v>
      </c>
    </row>
    <row r="139" spans="1:14" s="544" customFormat="1" ht="30" customHeight="1">
      <c r="A139" s="546">
        <v>4</v>
      </c>
      <c r="B139" s="1813"/>
      <c r="C139" s="1836">
        <v>0</v>
      </c>
      <c r="D139" s="548" t="s">
        <v>35</v>
      </c>
      <c r="E139" s="550">
        <v>1121087.2635000001</v>
      </c>
      <c r="F139" s="550">
        <v>80921.076923076922</v>
      </c>
      <c r="G139" s="550"/>
      <c r="H139" s="547"/>
      <c r="I139" s="547"/>
      <c r="J139" s="547"/>
      <c r="K139" s="547">
        <v>1202008.3404230771</v>
      </c>
      <c r="L139" s="547">
        <v>180301.25106346156</v>
      </c>
      <c r="M139" s="547">
        <v>1382309.5914865388</v>
      </c>
      <c r="N139" s="551">
        <v>41308.3125</v>
      </c>
    </row>
    <row r="140" spans="1:14" s="544" customFormat="1" ht="30" customHeight="1">
      <c r="A140" s="539"/>
      <c r="B140" s="1813"/>
      <c r="C140" s="1836">
        <v>0</v>
      </c>
      <c r="D140" s="548" t="s">
        <v>158</v>
      </c>
      <c r="E140" s="550">
        <v>1154597.7330000002</v>
      </c>
      <c r="F140" s="550">
        <v>89041.846153846171</v>
      </c>
      <c r="G140" s="550"/>
      <c r="H140" s="547"/>
      <c r="I140" s="547"/>
      <c r="J140" s="547"/>
      <c r="K140" s="547">
        <v>1243639.5791538465</v>
      </c>
      <c r="L140" s="547">
        <v>186545.93687307698</v>
      </c>
      <c r="M140" s="547">
        <v>1430185.5160269234</v>
      </c>
      <c r="N140" s="551">
        <v>42627.7575</v>
      </c>
    </row>
    <row r="141" spans="1:14" s="544" customFormat="1" ht="30" customHeight="1">
      <c r="A141" s="539"/>
      <c r="B141" s="1813"/>
      <c r="C141" s="1836">
        <v>0</v>
      </c>
      <c r="D141" s="548" t="s">
        <v>159</v>
      </c>
      <c r="E141" s="550">
        <v>1189645.3800000001</v>
      </c>
      <c r="F141" s="550">
        <v>97926.923076923063</v>
      </c>
      <c r="G141" s="550"/>
      <c r="H141" s="547"/>
      <c r="I141" s="547"/>
      <c r="J141" s="547"/>
      <c r="K141" s="547">
        <v>1287572.3030769231</v>
      </c>
      <c r="L141" s="547">
        <v>193135.84546153847</v>
      </c>
      <c r="M141" s="547">
        <v>1480708.1485384617</v>
      </c>
      <c r="N141" s="551">
        <v>44007.727500000001</v>
      </c>
    </row>
    <row r="142" spans="1:14" s="544" customFormat="1" ht="30" customHeight="1">
      <c r="A142" s="539"/>
      <c r="B142" s="1813" t="s">
        <v>264</v>
      </c>
      <c r="C142" s="1836" t="s">
        <v>53</v>
      </c>
      <c r="D142" s="548">
        <v>1</v>
      </c>
      <c r="E142" s="550">
        <v>1181088.5120000003</v>
      </c>
      <c r="F142" s="550"/>
      <c r="G142" s="550"/>
      <c r="H142" s="547"/>
      <c r="I142" s="547"/>
      <c r="J142" s="547"/>
      <c r="K142" s="547">
        <v>1181088.5120000003</v>
      </c>
      <c r="L142" s="547">
        <v>177163.27680000005</v>
      </c>
      <c r="M142" s="547">
        <v>1358251.7888000004</v>
      </c>
      <c r="N142" s="551">
        <v>24122.574999999997</v>
      </c>
    </row>
    <row r="143" spans="1:14" s="544" customFormat="1" ht="30" customHeight="1">
      <c r="A143" s="539"/>
      <c r="B143" s="1813"/>
      <c r="C143" s="1836">
        <v>0</v>
      </c>
      <c r="D143" s="548" t="s">
        <v>34</v>
      </c>
      <c r="E143" s="550">
        <v>1211831.9450000001</v>
      </c>
      <c r="F143" s="550"/>
      <c r="G143" s="550"/>
      <c r="H143" s="547"/>
      <c r="I143" s="547"/>
      <c r="J143" s="547"/>
      <c r="K143" s="547">
        <v>1211831.9450000001</v>
      </c>
      <c r="L143" s="547">
        <v>181774.79175</v>
      </c>
      <c r="M143" s="547">
        <v>1393606.7367500002</v>
      </c>
      <c r="N143" s="551">
        <v>24122.574999999997</v>
      </c>
    </row>
    <row r="144" spans="1:14" s="544" customFormat="1" ht="30" customHeight="1">
      <c r="A144" s="546">
        <v>5</v>
      </c>
      <c r="B144" s="1813"/>
      <c r="C144" s="1836">
        <v>0</v>
      </c>
      <c r="D144" s="548" t="s">
        <v>35</v>
      </c>
      <c r="E144" s="550">
        <v>1245649.7210000004</v>
      </c>
      <c r="F144" s="550"/>
      <c r="G144" s="550"/>
      <c r="H144" s="547"/>
      <c r="I144" s="547"/>
      <c r="J144" s="547"/>
      <c r="K144" s="547">
        <v>1245649.7210000004</v>
      </c>
      <c r="L144" s="547">
        <v>186847.45815000005</v>
      </c>
      <c r="M144" s="547">
        <v>1432497.1791500004</v>
      </c>
      <c r="N144" s="551">
        <v>24122.575000000001</v>
      </c>
    </row>
    <row r="145" spans="1:14" s="544" customFormat="1" ht="30" customHeight="1">
      <c r="A145" s="539"/>
      <c r="B145" s="1813"/>
      <c r="C145" s="1836">
        <v>0</v>
      </c>
      <c r="D145" s="548" t="s">
        <v>158</v>
      </c>
      <c r="E145" s="550">
        <v>1282883.4350000003</v>
      </c>
      <c r="F145" s="550"/>
      <c r="G145" s="550"/>
      <c r="H145" s="547"/>
      <c r="I145" s="547"/>
      <c r="J145" s="547"/>
      <c r="K145" s="547">
        <v>1282883.4350000003</v>
      </c>
      <c r="L145" s="547">
        <v>192432.51525000003</v>
      </c>
      <c r="M145" s="547">
        <v>1475315.9502500002</v>
      </c>
      <c r="N145" s="551">
        <v>24122.574999999997</v>
      </c>
    </row>
    <row r="146" spans="1:14" s="544" customFormat="1" ht="30" customHeight="1">
      <c r="A146" s="539"/>
      <c r="B146" s="1813"/>
      <c r="C146" s="1836">
        <v>0</v>
      </c>
      <c r="D146" s="548" t="s">
        <v>159</v>
      </c>
      <c r="E146" s="550">
        <v>1321825.1160000004</v>
      </c>
      <c r="F146" s="550"/>
      <c r="G146" s="550"/>
      <c r="H146" s="547"/>
      <c r="I146" s="547"/>
      <c r="J146" s="547"/>
      <c r="K146" s="547">
        <v>1321825.1160000004</v>
      </c>
      <c r="L146" s="547">
        <v>198273.76740000004</v>
      </c>
      <c r="M146" s="547">
        <v>1520098.8834000004</v>
      </c>
      <c r="N146" s="551">
        <v>24122.574999999997</v>
      </c>
    </row>
    <row r="147" spans="1:14" s="544" customFormat="1" ht="35.1" customHeight="1">
      <c r="A147" s="1850" t="s">
        <v>517</v>
      </c>
      <c r="B147" s="1847"/>
      <c r="C147" s="1847"/>
      <c r="D147" s="1847"/>
      <c r="E147" s="1847"/>
      <c r="F147" s="1847"/>
      <c r="G147" s="1847"/>
      <c r="H147" s="1847"/>
      <c r="I147" s="1847"/>
      <c r="J147" s="1847"/>
      <c r="K147" s="1847"/>
      <c r="L147" s="1847"/>
      <c r="M147" s="1847"/>
      <c r="N147" s="1848"/>
    </row>
    <row r="148" spans="1:14" s="544" customFormat="1" ht="30" customHeight="1">
      <c r="A148" s="1830" t="s">
        <v>20</v>
      </c>
      <c r="B148" s="1831" t="s">
        <v>430</v>
      </c>
      <c r="C148" s="1832" t="s">
        <v>53</v>
      </c>
      <c r="D148" s="585">
        <v>1</v>
      </c>
      <c r="E148" s="537">
        <v>1197413.9950000001</v>
      </c>
      <c r="F148" s="537">
        <v>74307.692307692298</v>
      </c>
      <c r="G148" s="537">
        <v>3471.5512820512818</v>
      </c>
      <c r="H148" s="537">
        <v>5343.84</v>
      </c>
      <c r="I148" s="537">
        <v>6737.3870399999996</v>
      </c>
      <c r="J148" s="537">
        <v>14959.871999999999</v>
      </c>
      <c r="K148" s="537">
        <v>1302234.3376297436</v>
      </c>
      <c r="L148" s="537">
        <v>195335.15064446154</v>
      </c>
      <c r="M148" s="537">
        <v>1497569.4882742052</v>
      </c>
      <c r="N148" s="538">
        <v>43867.174999999996</v>
      </c>
    </row>
    <row r="149" spans="1:14" s="544" customFormat="1" ht="30" customHeight="1">
      <c r="A149" s="1830"/>
      <c r="B149" s="1831"/>
      <c r="C149" s="1832"/>
      <c r="D149" s="585" t="s">
        <v>34</v>
      </c>
      <c r="E149" s="537">
        <v>1228157.5449999999</v>
      </c>
      <c r="F149" s="537">
        <v>81738.461538461546</v>
      </c>
      <c r="G149" s="537">
        <v>3471.5512820512818</v>
      </c>
      <c r="H149" s="537">
        <v>5343.84</v>
      </c>
      <c r="I149" s="537">
        <v>6737.3870399999996</v>
      </c>
      <c r="J149" s="537">
        <v>14959.871999999999</v>
      </c>
      <c r="K149" s="537">
        <v>1340408.6568605127</v>
      </c>
      <c r="L149" s="537">
        <v>201061.29852907688</v>
      </c>
      <c r="M149" s="537">
        <v>1541469.9553895895</v>
      </c>
      <c r="N149" s="538">
        <v>45077.674999999996</v>
      </c>
    </row>
    <row r="150" spans="1:14" s="544" customFormat="1" ht="30" customHeight="1">
      <c r="A150" s="1830"/>
      <c r="B150" s="1831"/>
      <c r="C150" s="1832"/>
      <c r="D150" s="585" t="s">
        <v>35</v>
      </c>
      <c r="E150" s="537">
        <v>1261975.45</v>
      </c>
      <c r="F150" s="537">
        <v>89912.307692307688</v>
      </c>
      <c r="G150" s="537">
        <v>3471.5512820512818</v>
      </c>
      <c r="H150" s="537">
        <v>5343.84</v>
      </c>
      <c r="I150" s="537">
        <v>6737.3870399999996</v>
      </c>
      <c r="J150" s="537">
        <v>14959.871999999999</v>
      </c>
      <c r="K150" s="537">
        <v>1382400.408014359</v>
      </c>
      <c r="L150" s="537">
        <v>207360.06120215383</v>
      </c>
      <c r="M150" s="537">
        <v>1589760.4692165127</v>
      </c>
      <c r="N150" s="538">
        <v>46409.224999999991</v>
      </c>
    </row>
    <row r="151" spans="1:14" s="544" customFormat="1" ht="30" customHeight="1">
      <c r="A151" s="1830"/>
      <c r="B151" s="1831"/>
      <c r="C151" s="1832"/>
      <c r="D151" s="585" t="s">
        <v>158</v>
      </c>
      <c r="E151" s="537">
        <v>1299209.3049999999</v>
      </c>
      <c r="F151" s="537">
        <v>98935.384615384624</v>
      </c>
      <c r="G151" s="537">
        <v>3471.5512820512818</v>
      </c>
      <c r="H151" s="537">
        <v>5343.84</v>
      </c>
      <c r="I151" s="537">
        <v>6737.3870399999996</v>
      </c>
      <c r="J151" s="537">
        <v>14959.871999999999</v>
      </c>
      <c r="K151" s="537">
        <v>1428657.3399374359</v>
      </c>
      <c r="L151" s="537">
        <v>214298.60099061538</v>
      </c>
      <c r="M151" s="537">
        <v>1642955.9409280512</v>
      </c>
      <c r="N151" s="538">
        <v>47875.274999999994</v>
      </c>
    </row>
    <row r="152" spans="1:14" s="544" customFormat="1" ht="30" customHeight="1">
      <c r="A152" s="1830"/>
      <c r="B152" s="1831"/>
      <c r="C152" s="1832"/>
      <c r="D152" s="585" t="s">
        <v>159</v>
      </c>
      <c r="E152" s="537">
        <v>1338151.135</v>
      </c>
      <c r="F152" s="537">
        <v>108807.6923076923</v>
      </c>
      <c r="G152" s="537">
        <v>3471.5512820512818</v>
      </c>
      <c r="H152" s="537">
        <v>5343.84</v>
      </c>
      <c r="I152" s="537">
        <v>6737.3870399999996</v>
      </c>
      <c r="J152" s="537">
        <v>14959.871999999999</v>
      </c>
      <c r="K152" s="537">
        <v>1477471.4776297435</v>
      </c>
      <c r="L152" s="537">
        <v>221620.72164446153</v>
      </c>
      <c r="M152" s="537">
        <v>1699092.1992742051</v>
      </c>
      <c r="N152" s="538">
        <v>49408.574999999997</v>
      </c>
    </row>
    <row r="153" spans="1:14" s="544" customFormat="1" ht="30" customHeight="1">
      <c r="A153" s="1833" t="s">
        <v>126</v>
      </c>
      <c r="B153" s="1834" t="s">
        <v>140</v>
      </c>
      <c r="C153" s="1835" t="s">
        <v>53</v>
      </c>
      <c r="D153" s="540">
        <v>1</v>
      </c>
      <c r="E153" s="542">
        <v>601300.36</v>
      </c>
      <c r="F153" s="542">
        <v>74307.692307692298</v>
      </c>
      <c r="G153" s="542">
        <v>1752.8998397435896</v>
      </c>
      <c r="H153" s="542">
        <v>5343.84</v>
      </c>
      <c r="I153" s="542">
        <v>543.55999999999995</v>
      </c>
      <c r="J153" s="542">
        <v>3042.348</v>
      </c>
      <c r="K153" s="542">
        <v>686290.70014743588</v>
      </c>
      <c r="L153" s="542">
        <v>102943.60502211539</v>
      </c>
      <c r="M153" s="542">
        <v>789234.30516955128</v>
      </c>
      <c r="N153" s="543">
        <v>22501.85</v>
      </c>
    </row>
    <row r="154" spans="1:14" s="544" customFormat="1" ht="35.1" customHeight="1">
      <c r="A154" s="1833"/>
      <c r="B154" s="1834"/>
      <c r="C154" s="1835"/>
      <c r="D154" s="540" t="s">
        <v>34</v>
      </c>
      <c r="E154" s="542">
        <v>632043.90999999992</v>
      </c>
      <c r="F154" s="542">
        <v>81738.461538461546</v>
      </c>
      <c r="G154" s="542">
        <v>1752.8998397435896</v>
      </c>
      <c r="H154" s="542">
        <v>5343.84</v>
      </c>
      <c r="I154" s="542">
        <v>543.55999999999995</v>
      </c>
      <c r="J154" s="542">
        <v>3042.348</v>
      </c>
      <c r="K154" s="542">
        <v>724465.01937820506</v>
      </c>
      <c r="L154" s="542">
        <v>108669.75290673076</v>
      </c>
      <c r="M154" s="542">
        <v>833134.77228493581</v>
      </c>
      <c r="N154" s="543">
        <v>23712.35</v>
      </c>
    </row>
    <row r="155" spans="1:14" s="544" customFormat="1" ht="35.1" customHeight="1">
      <c r="A155" s="1833"/>
      <c r="B155" s="1834"/>
      <c r="C155" s="1835"/>
      <c r="D155" s="540" t="s">
        <v>35</v>
      </c>
      <c r="E155" s="542">
        <v>665861.81499999994</v>
      </c>
      <c r="F155" s="542">
        <v>89912.307692307688</v>
      </c>
      <c r="G155" s="542">
        <v>1752.8998397435896</v>
      </c>
      <c r="H155" s="542">
        <v>5343.84</v>
      </c>
      <c r="I155" s="542">
        <v>543.55999999999995</v>
      </c>
      <c r="J155" s="542">
        <v>3042.348</v>
      </c>
      <c r="K155" s="542">
        <v>766456.77053205133</v>
      </c>
      <c r="L155" s="542">
        <v>114968.5155798077</v>
      </c>
      <c r="M155" s="542">
        <v>881425.28611185902</v>
      </c>
      <c r="N155" s="543">
        <v>25043.899999999998</v>
      </c>
    </row>
    <row r="156" spans="1:14" s="544" customFormat="1" ht="35.1" customHeight="1">
      <c r="A156" s="1833"/>
      <c r="B156" s="1834"/>
      <c r="C156" s="1835"/>
      <c r="D156" s="540" t="s">
        <v>158</v>
      </c>
      <c r="E156" s="542">
        <v>703095.66999999993</v>
      </c>
      <c r="F156" s="542">
        <v>98935.384615384624</v>
      </c>
      <c r="G156" s="542">
        <v>1752.8998397435896</v>
      </c>
      <c r="H156" s="542">
        <v>5343.84</v>
      </c>
      <c r="I156" s="542">
        <v>543.55999999999995</v>
      </c>
      <c r="J156" s="542">
        <v>3042.348</v>
      </c>
      <c r="K156" s="542">
        <v>812713.70245512819</v>
      </c>
      <c r="L156" s="542">
        <v>121907.05536826923</v>
      </c>
      <c r="M156" s="542">
        <v>934620.75782339741</v>
      </c>
      <c r="N156" s="543">
        <v>26509.949999999997</v>
      </c>
    </row>
    <row r="157" spans="1:14" s="544" customFormat="1" ht="35.1" customHeight="1">
      <c r="A157" s="1833"/>
      <c r="B157" s="1834"/>
      <c r="C157" s="1835"/>
      <c r="D157" s="540" t="s">
        <v>159</v>
      </c>
      <c r="E157" s="542">
        <v>742037.5</v>
      </c>
      <c r="F157" s="542">
        <v>108807.6923076923</v>
      </c>
      <c r="G157" s="542">
        <v>1752.8998397435896</v>
      </c>
      <c r="H157" s="542">
        <v>5343.84</v>
      </c>
      <c r="I157" s="542">
        <v>543.55999999999995</v>
      </c>
      <c r="J157" s="542">
        <v>3042.348</v>
      </c>
      <c r="K157" s="542">
        <v>861527.8401474359</v>
      </c>
      <c r="L157" s="542">
        <v>129229.17602211538</v>
      </c>
      <c r="M157" s="542">
        <v>990757.01616955129</v>
      </c>
      <c r="N157" s="543">
        <v>28043.25</v>
      </c>
    </row>
    <row r="158" spans="1:14" s="544" customFormat="1" ht="45" customHeight="1">
      <c r="A158" s="539" t="s">
        <v>127</v>
      </c>
      <c r="B158" s="545" t="s">
        <v>166</v>
      </c>
      <c r="C158" s="540" t="s">
        <v>53</v>
      </c>
      <c r="D158" s="540"/>
      <c r="E158" s="542">
        <v>555901.63500000001</v>
      </c>
      <c r="F158" s="542"/>
      <c r="G158" s="542">
        <v>1718.6514423076922</v>
      </c>
      <c r="H158" s="542">
        <v>0</v>
      </c>
      <c r="I158" s="542">
        <v>6193.8270400000001</v>
      </c>
      <c r="J158" s="542">
        <v>11917.523999999999</v>
      </c>
      <c r="K158" s="542">
        <v>575731.63748230773</v>
      </c>
      <c r="L158" s="542">
        <v>86359.745622346163</v>
      </c>
      <c r="M158" s="542">
        <v>662091.38310465391</v>
      </c>
      <c r="N158" s="543">
        <v>20020.324999999997</v>
      </c>
    </row>
    <row r="159" spans="1:14" s="544" customFormat="1" ht="69.95" customHeight="1">
      <c r="A159" s="546" t="s">
        <v>160</v>
      </c>
      <c r="B159" s="559" t="s">
        <v>205</v>
      </c>
      <c r="C159" s="548">
        <v>0</v>
      </c>
      <c r="D159" s="548">
        <v>0</v>
      </c>
      <c r="E159" s="550">
        <v>0</v>
      </c>
      <c r="F159" s="550">
        <v>0</v>
      </c>
      <c r="G159" s="550">
        <v>0</v>
      </c>
      <c r="H159" s="550">
        <v>0</v>
      </c>
      <c r="I159" s="550">
        <v>0</v>
      </c>
      <c r="J159" s="550">
        <v>0</v>
      </c>
      <c r="K159" s="550">
        <v>0</v>
      </c>
      <c r="L159" s="550">
        <v>0</v>
      </c>
      <c r="M159" s="550">
        <v>0</v>
      </c>
      <c r="N159" s="551">
        <v>0</v>
      </c>
    </row>
    <row r="160" spans="1:14" s="544" customFormat="1" ht="30" customHeight="1">
      <c r="A160" s="553" t="s">
        <v>170</v>
      </c>
      <c r="B160" s="574" t="s">
        <v>168</v>
      </c>
      <c r="C160" s="555" t="s">
        <v>1</v>
      </c>
      <c r="D160" s="555" t="s">
        <v>204</v>
      </c>
      <c r="E160" s="556">
        <v>9010.625</v>
      </c>
      <c r="F160" s="556">
        <v>0</v>
      </c>
      <c r="G160" s="556">
        <v>0</v>
      </c>
      <c r="H160" s="556">
        <v>0</v>
      </c>
      <c r="I160" s="556">
        <v>0</v>
      </c>
      <c r="J160" s="556">
        <v>0</v>
      </c>
      <c r="K160" s="556">
        <v>9010.625</v>
      </c>
      <c r="L160" s="556">
        <v>1351.59375</v>
      </c>
      <c r="M160" s="556">
        <v>10362.21875</v>
      </c>
      <c r="N160" s="557">
        <v>336.25</v>
      </c>
    </row>
    <row r="161" spans="1:14" s="544" customFormat="1" ht="30" customHeight="1">
      <c r="A161" s="553" t="s">
        <v>172</v>
      </c>
      <c r="B161" s="574" t="s">
        <v>169</v>
      </c>
      <c r="C161" s="555" t="s">
        <v>1</v>
      </c>
      <c r="D161" s="555" t="s">
        <v>204</v>
      </c>
      <c r="E161" s="556">
        <v>18021.25</v>
      </c>
      <c r="F161" s="556">
        <v>0</v>
      </c>
      <c r="G161" s="556">
        <v>0</v>
      </c>
      <c r="H161" s="556">
        <v>0</v>
      </c>
      <c r="I161" s="556">
        <v>0</v>
      </c>
      <c r="J161" s="556">
        <v>0</v>
      </c>
      <c r="K161" s="556">
        <v>18021.25</v>
      </c>
      <c r="L161" s="556">
        <v>2703.1875</v>
      </c>
      <c r="M161" s="556">
        <v>20724.4375</v>
      </c>
      <c r="N161" s="557">
        <v>672.5</v>
      </c>
    </row>
    <row r="162" spans="1:14" s="544" customFormat="1" ht="30" customHeight="1">
      <c r="A162" s="546" t="s">
        <v>37</v>
      </c>
      <c r="B162" s="559" t="s">
        <v>178</v>
      </c>
      <c r="C162" s="548" t="s">
        <v>144</v>
      </c>
      <c r="D162" s="548" t="s">
        <v>204</v>
      </c>
      <c r="E162" s="550">
        <v>40212</v>
      </c>
      <c r="F162" s="550">
        <v>0</v>
      </c>
      <c r="G162" s="550">
        <v>0</v>
      </c>
      <c r="H162" s="550">
        <v>0</v>
      </c>
      <c r="I162" s="550">
        <v>0</v>
      </c>
      <c r="J162" s="550">
        <v>0</v>
      </c>
      <c r="K162" s="550">
        <v>40212</v>
      </c>
      <c r="L162" s="550">
        <v>6031.8</v>
      </c>
      <c r="M162" s="550">
        <v>46243.8</v>
      </c>
      <c r="N162" s="551">
        <v>1345</v>
      </c>
    </row>
    <row r="163" spans="1:14" s="544" customFormat="1" ht="45" customHeight="1">
      <c r="A163" s="539" t="s">
        <v>128</v>
      </c>
      <c r="B163" s="545" t="s">
        <v>196</v>
      </c>
      <c r="C163" s="540"/>
      <c r="D163" s="540"/>
      <c r="E163" s="542">
        <v>40212</v>
      </c>
      <c r="F163" s="542">
        <v>0</v>
      </c>
      <c r="G163" s="542">
        <v>0</v>
      </c>
      <c r="H163" s="542">
        <v>0</v>
      </c>
      <c r="I163" s="542">
        <v>0</v>
      </c>
      <c r="J163" s="542">
        <v>0</v>
      </c>
      <c r="K163" s="542">
        <v>40212</v>
      </c>
      <c r="L163" s="542">
        <v>6031.8</v>
      </c>
      <c r="M163" s="542">
        <v>46243.8</v>
      </c>
      <c r="N163" s="543">
        <v>1345</v>
      </c>
    </row>
    <row r="164" spans="1:14" s="544" customFormat="1" ht="30" customHeight="1">
      <c r="A164" s="1830" t="s">
        <v>22</v>
      </c>
      <c r="B164" s="1831" t="s">
        <v>431</v>
      </c>
      <c r="C164" s="1832" t="s">
        <v>53</v>
      </c>
      <c r="D164" s="585">
        <v>1</v>
      </c>
      <c r="E164" s="537">
        <v>1197413.9950000001</v>
      </c>
      <c r="F164" s="537">
        <v>74307.692307692298</v>
      </c>
      <c r="G164" s="537">
        <v>2772.2103365384614</v>
      </c>
      <c r="H164" s="537">
        <v>1086.48</v>
      </c>
      <c r="I164" s="537">
        <v>6369.3870400000005</v>
      </c>
      <c r="J164" s="537">
        <v>13557.384</v>
      </c>
      <c r="K164" s="537">
        <v>1295507.1486842309</v>
      </c>
      <c r="L164" s="537">
        <v>194326.07230263462</v>
      </c>
      <c r="M164" s="537">
        <v>1489833.2209868655</v>
      </c>
      <c r="N164" s="538">
        <v>43867.174999999996</v>
      </c>
    </row>
    <row r="165" spans="1:14" s="544" customFormat="1" ht="30" customHeight="1">
      <c r="A165" s="1830"/>
      <c r="B165" s="1831"/>
      <c r="C165" s="1832"/>
      <c r="D165" s="585" t="s">
        <v>34</v>
      </c>
      <c r="E165" s="537">
        <v>1228157.5449999999</v>
      </c>
      <c r="F165" s="537">
        <v>81738.461538461546</v>
      </c>
      <c r="G165" s="537">
        <v>2772.2103365384614</v>
      </c>
      <c r="H165" s="537">
        <v>1086.48</v>
      </c>
      <c r="I165" s="537">
        <v>6369.3870400000005</v>
      </c>
      <c r="J165" s="537">
        <v>13557.384</v>
      </c>
      <c r="K165" s="537">
        <v>1333681.4679149999</v>
      </c>
      <c r="L165" s="537">
        <v>200052.22018724997</v>
      </c>
      <c r="M165" s="537">
        <v>1533733.68810225</v>
      </c>
      <c r="N165" s="538">
        <v>45077.674999999996</v>
      </c>
    </row>
    <row r="166" spans="1:14" s="544" customFormat="1" ht="30" customHeight="1">
      <c r="A166" s="1830"/>
      <c r="B166" s="1831"/>
      <c r="C166" s="1832"/>
      <c r="D166" s="585" t="s">
        <v>35</v>
      </c>
      <c r="E166" s="537">
        <v>1261975.45</v>
      </c>
      <c r="F166" s="537">
        <v>89912.307692307688</v>
      </c>
      <c r="G166" s="537">
        <v>2772.2103365384614</v>
      </c>
      <c r="H166" s="537">
        <v>1086.48</v>
      </c>
      <c r="I166" s="537">
        <v>6369.3870400000005</v>
      </c>
      <c r="J166" s="537">
        <v>13557.384</v>
      </c>
      <c r="K166" s="537">
        <v>1375673.2190688462</v>
      </c>
      <c r="L166" s="537">
        <v>206350.98286032691</v>
      </c>
      <c r="M166" s="537">
        <v>1582024.2019291732</v>
      </c>
      <c r="N166" s="538">
        <v>46409.224999999991</v>
      </c>
    </row>
    <row r="167" spans="1:14" s="544" customFormat="1" ht="30" customHeight="1">
      <c r="A167" s="1830"/>
      <c r="B167" s="1831"/>
      <c r="C167" s="1832"/>
      <c r="D167" s="585" t="s">
        <v>158</v>
      </c>
      <c r="E167" s="537">
        <v>1299209.3049999999</v>
      </c>
      <c r="F167" s="537">
        <v>98935.384615384624</v>
      </c>
      <c r="G167" s="537">
        <v>2772.2103365384614</v>
      </c>
      <c r="H167" s="537">
        <v>1086.48</v>
      </c>
      <c r="I167" s="537">
        <v>6369.3870400000005</v>
      </c>
      <c r="J167" s="537">
        <v>13557.384</v>
      </c>
      <c r="K167" s="537">
        <v>1421930.1509919232</v>
      </c>
      <c r="L167" s="537">
        <v>213289.52264878846</v>
      </c>
      <c r="M167" s="537">
        <v>1635219.6736407117</v>
      </c>
      <c r="N167" s="538">
        <v>47875.274999999994</v>
      </c>
    </row>
    <row r="168" spans="1:14" s="544" customFormat="1" ht="30" customHeight="1">
      <c r="A168" s="1830"/>
      <c r="B168" s="1831"/>
      <c r="C168" s="1832"/>
      <c r="D168" s="585" t="s">
        <v>159</v>
      </c>
      <c r="E168" s="537">
        <v>1338151.135</v>
      </c>
      <c r="F168" s="537">
        <v>108807.6923076923</v>
      </c>
      <c r="G168" s="537">
        <v>2772.2103365384614</v>
      </c>
      <c r="H168" s="537">
        <v>1086.48</v>
      </c>
      <c r="I168" s="537">
        <v>6369.3870400000005</v>
      </c>
      <c r="J168" s="537">
        <v>13557.384</v>
      </c>
      <c r="K168" s="537">
        <v>1470744.2886842308</v>
      </c>
      <c r="L168" s="537">
        <v>220611.64330263462</v>
      </c>
      <c r="M168" s="537">
        <v>1691355.9319868654</v>
      </c>
      <c r="N168" s="538">
        <v>49408.574999999997</v>
      </c>
    </row>
    <row r="169" spans="1:14" s="544" customFormat="1" ht="30" customHeight="1">
      <c r="A169" s="1833" t="s">
        <v>126</v>
      </c>
      <c r="B169" s="1834" t="s">
        <v>140</v>
      </c>
      <c r="C169" s="1835" t="s">
        <v>53</v>
      </c>
      <c r="D169" s="540">
        <v>1</v>
      </c>
      <c r="E169" s="542">
        <v>601300.36</v>
      </c>
      <c r="F169" s="542">
        <v>74307.692307692298</v>
      </c>
      <c r="G169" s="542">
        <v>1053.5588942307693</v>
      </c>
      <c r="H169" s="542">
        <v>1086.48</v>
      </c>
      <c r="I169" s="542">
        <v>175.56</v>
      </c>
      <c r="J169" s="542">
        <v>1639.86</v>
      </c>
      <c r="K169" s="542">
        <v>679563.51120192301</v>
      </c>
      <c r="L169" s="542">
        <v>101934.52668028844</v>
      </c>
      <c r="M169" s="542">
        <v>781498.0378822115</v>
      </c>
      <c r="N169" s="543">
        <v>22501.85</v>
      </c>
    </row>
    <row r="170" spans="1:14" s="544" customFormat="1" ht="30" customHeight="1">
      <c r="A170" s="1833">
        <v>0</v>
      </c>
      <c r="B170" s="1834">
        <v>0</v>
      </c>
      <c r="C170" s="1835">
        <v>0</v>
      </c>
      <c r="D170" s="540" t="s">
        <v>34</v>
      </c>
      <c r="E170" s="542">
        <v>632043.90999999992</v>
      </c>
      <c r="F170" s="542">
        <v>81738.461538461546</v>
      </c>
      <c r="G170" s="542">
        <v>1053.5588942307693</v>
      </c>
      <c r="H170" s="542">
        <v>1086.48</v>
      </c>
      <c r="I170" s="542">
        <v>175.56</v>
      </c>
      <c r="J170" s="542">
        <v>1639.86</v>
      </c>
      <c r="K170" s="542">
        <v>717737.83043269219</v>
      </c>
      <c r="L170" s="542">
        <v>107660.67456490382</v>
      </c>
      <c r="M170" s="542">
        <v>825398.50499759603</v>
      </c>
      <c r="N170" s="543">
        <v>23712.35</v>
      </c>
    </row>
    <row r="171" spans="1:14" s="544" customFormat="1" ht="30" customHeight="1">
      <c r="A171" s="1833">
        <v>0</v>
      </c>
      <c r="B171" s="1834">
        <v>0</v>
      </c>
      <c r="C171" s="1835">
        <v>0</v>
      </c>
      <c r="D171" s="540" t="s">
        <v>35</v>
      </c>
      <c r="E171" s="542">
        <v>665861.81499999994</v>
      </c>
      <c r="F171" s="542">
        <v>89912.307692307688</v>
      </c>
      <c r="G171" s="542">
        <v>1053.5588942307693</v>
      </c>
      <c r="H171" s="542">
        <v>1086.48</v>
      </c>
      <c r="I171" s="542">
        <v>175.56</v>
      </c>
      <c r="J171" s="542">
        <v>1639.86</v>
      </c>
      <c r="K171" s="542">
        <v>759729.58158653846</v>
      </c>
      <c r="L171" s="542">
        <v>113959.43723798076</v>
      </c>
      <c r="M171" s="542">
        <v>873689.01882451924</v>
      </c>
      <c r="N171" s="543">
        <v>25043.899999999998</v>
      </c>
    </row>
    <row r="172" spans="1:14" s="544" customFormat="1" ht="30" customHeight="1">
      <c r="A172" s="1833">
        <v>0</v>
      </c>
      <c r="B172" s="1834">
        <v>0</v>
      </c>
      <c r="C172" s="1835">
        <v>0</v>
      </c>
      <c r="D172" s="540" t="s">
        <v>158</v>
      </c>
      <c r="E172" s="542">
        <v>703095.66999999993</v>
      </c>
      <c r="F172" s="542">
        <v>98935.384615384624</v>
      </c>
      <c r="G172" s="542">
        <v>1053.5588942307693</v>
      </c>
      <c r="H172" s="542">
        <v>1086.48</v>
      </c>
      <c r="I172" s="542">
        <v>175.56</v>
      </c>
      <c r="J172" s="542">
        <v>1639.86</v>
      </c>
      <c r="K172" s="542">
        <v>805986.51350961532</v>
      </c>
      <c r="L172" s="542">
        <v>120897.9770264423</v>
      </c>
      <c r="M172" s="542">
        <v>926884.49053605762</v>
      </c>
      <c r="N172" s="543">
        <v>26509.949999999997</v>
      </c>
    </row>
    <row r="173" spans="1:14" s="544" customFormat="1" ht="30" customHeight="1">
      <c r="A173" s="1833">
        <v>0</v>
      </c>
      <c r="B173" s="1834">
        <v>0</v>
      </c>
      <c r="C173" s="1835">
        <v>0</v>
      </c>
      <c r="D173" s="540" t="s">
        <v>159</v>
      </c>
      <c r="E173" s="542">
        <v>742037.5</v>
      </c>
      <c r="F173" s="542">
        <v>108807.6923076923</v>
      </c>
      <c r="G173" s="542">
        <v>1053.5588942307693</v>
      </c>
      <c r="H173" s="542">
        <v>1086.48</v>
      </c>
      <c r="I173" s="542">
        <v>175.56</v>
      </c>
      <c r="J173" s="542">
        <v>1639.86</v>
      </c>
      <c r="K173" s="542">
        <v>854800.65120192303</v>
      </c>
      <c r="L173" s="542">
        <v>128220.09768028845</v>
      </c>
      <c r="M173" s="542">
        <v>983020.74888221151</v>
      </c>
      <c r="N173" s="543">
        <v>28043.25</v>
      </c>
    </row>
    <row r="174" spans="1:14" s="544" customFormat="1" ht="45" customHeight="1">
      <c r="A174" s="539" t="s">
        <v>127</v>
      </c>
      <c r="B174" s="545" t="s">
        <v>166</v>
      </c>
      <c r="C174" s="540" t="s">
        <v>53</v>
      </c>
      <c r="D174" s="540">
        <v>0</v>
      </c>
      <c r="E174" s="542">
        <v>555901.63500000001</v>
      </c>
      <c r="F174" s="542">
        <v>0</v>
      </c>
      <c r="G174" s="542">
        <v>2417.9923878205132</v>
      </c>
      <c r="H174" s="542">
        <v>22198.32</v>
      </c>
      <c r="I174" s="542">
        <v>6561.8270400000001</v>
      </c>
      <c r="J174" s="542">
        <v>13318.2</v>
      </c>
      <c r="K174" s="542">
        <v>600397.97442782042</v>
      </c>
      <c r="L174" s="542">
        <v>90059.69616417306</v>
      </c>
      <c r="M174" s="542">
        <v>690457.67059199349</v>
      </c>
      <c r="N174" s="543">
        <v>20020.324999999997</v>
      </c>
    </row>
    <row r="175" spans="1:14" s="544" customFormat="1" ht="80.099999999999994" customHeight="1">
      <c r="A175" s="546" t="s">
        <v>160</v>
      </c>
      <c r="B175" s="559" t="s">
        <v>205</v>
      </c>
      <c r="C175" s="548">
        <v>0</v>
      </c>
      <c r="D175" s="548">
        <v>0</v>
      </c>
      <c r="E175" s="550">
        <v>0</v>
      </c>
      <c r="F175" s="550">
        <v>0</v>
      </c>
      <c r="G175" s="550"/>
      <c r="H175" s="550"/>
      <c r="I175" s="550"/>
      <c r="J175" s="550"/>
      <c r="K175" s="550">
        <v>0</v>
      </c>
      <c r="L175" s="550">
        <v>0</v>
      </c>
      <c r="M175" s="550">
        <v>0</v>
      </c>
      <c r="N175" s="551">
        <v>0</v>
      </c>
    </row>
    <row r="176" spans="1:14" s="544" customFormat="1" ht="30" customHeight="1">
      <c r="A176" s="553" t="s">
        <v>170</v>
      </c>
      <c r="B176" s="574" t="s">
        <v>168</v>
      </c>
      <c r="C176" s="555" t="s">
        <v>1</v>
      </c>
      <c r="D176" s="555" t="s">
        <v>204</v>
      </c>
      <c r="E176" s="556">
        <v>9010.625</v>
      </c>
      <c r="F176" s="556">
        <v>0</v>
      </c>
      <c r="G176" s="556"/>
      <c r="H176" s="556"/>
      <c r="I176" s="556"/>
      <c r="J176" s="556"/>
      <c r="K176" s="556">
        <v>9010.625</v>
      </c>
      <c r="L176" s="556">
        <v>1351.59375</v>
      </c>
      <c r="M176" s="556">
        <v>10362.21875</v>
      </c>
      <c r="N176" s="557">
        <v>336.25</v>
      </c>
    </row>
    <row r="177" spans="1:14" s="544" customFormat="1" ht="30" customHeight="1">
      <c r="A177" s="553" t="s">
        <v>172</v>
      </c>
      <c r="B177" s="574" t="s">
        <v>169</v>
      </c>
      <c r="C177" s="555" t="s">
        <v>1</v>
      </c>
      <c r="D177" s="555" t="s">
        <v>204</v>
      </c>
      <c r="E177" s="556">
        <v>18021.25</v>
      </c>
      <c r="F177" s="556">
        <v>0</v>
      </c>
      <c r="G177" s="556"/>
      <c r="H177" s="556"/>
      <c r="I177" s="556"/>
      <c r="J177" s="556"/>
      <c r="K177" s="556">
        <v>18021.25</v>
      </c>
      <c r="L177" s="556">
        <v>2703.1875</v>
      </c>
      <c r="M177" s="556">
        <v>20724.4375</v>
      </c>
      <c r="N177" s="557">
        <v>672.5</v>
      </c>
    </row>
    <row r="178" spans="1:14" s="544" customFormat="1" ht="30" customHeight="1">
      <c r="A178" s="546" t="s">
        <v>37</v>
      </c>
      <c r="B178" s="559" t="s">
        <v>178</v>
      </c>
      <c r="C178" s="548" t="s">
        <v>144</v>
      </c>
      <c r="D178" s="548" t="s">
        <v>204</v>
      </c>
      <c r="E178" s="550">
        <v>40212</v>
      </c>
      <c r="F178" s="550">
        <v>0</v>
      </c>
      <c r="G178" s="550"/>
      <c r="H178" s="550"/>
      <c r="I178" s="550"/>
      <c r="J178" s="550"/>
      <c r="K178" s="550">
        <v>40212</v>
      </c>
      <c r="L178" s="550">
        <v>6031.8</v>
      </c>
      <c r="M178" s="550">
        <v>46243.8</v>
      </c>
      <c r="N178" s="551">
        <v>1345</v>
      </c>
    </row>
    <row r="179" spans="1:14" s="544" customFormat="1" ht="39.950000000000003" customHeight="1">
      <c r="A179" s="539" t="s">
        <v>128</v>
      </c>
      <c r="B179" s="545" t="s">
        <v>196</v>
      </c>
      <c r="C179" s="540">
        <v>0</v>
      </c>
      <c r="D179" s="540">
        <v>0</v>
      </c>
      <c r="E179" s="542">
        <v>40212</v>
      </c>
      <c r="F179" s="542">
        <v>0</v>
      </c>
      <c r="G179" s="542"/>
      <c r="H179" s="542"/>
      <c r="I179" s="542"/>
      <c r="J179" s="542"/>
      <c r="K179" s="542">
        <v>40212</v>
      </c>
      <c r="L179" s="542">
        <v>6031.8</v>
      </c>
      <c r="M179" s="542">
        <v>46243.8</v>
      </c>
      <c r="N179" s="543">
        <v>1345</v>
      </c>
    </row>
    <row r="180" spans="1:14" s="544" customFormat="1" ht="30" customHeight="1">
      <c r="A180" s="539"/>
      <c r="B180" s="579" t="s">
        <v>258</v>
      </c>
      <c r="C180" s="569"/>
      <c r="D180" s="569"/>
      <c r="E180" s="570"/>
      <c r="F180" s="570"/>
      <c r="G180" s="570"/>
      <c r="H180" s="586"/>
      <c r="I180" s="586"/>
      <c r="J180" s="586"/>
      <c r="K180" s="586">
        <v>0</v>
      </c>
      <c r="L180" s="586">
        <v>0</v>
      </c>
      <c r="M180" s="586">
        <v>0</v>
      </c>
      <c r="N180" s="571"/>
    </row>
    <row r="181" spans="1:14" s="544" customFormat="1" ht="99.95" customHeight="1">
      <c r="A181" s="546">
        <v>1</v>
      </c>
      <c r="B181" s="1813" t="s">
        <v>261</v>
      </c>
      <c r="C181" s="1813"/>
      <c r="D181" s="1813"/>
      <c r="E181" s="550"/>
      <c r="F181" s="550"/>
      <c r="G181" s="550"/>
      <c r="H181" s="547"/>
      <c r="I181" s="547"/>
      <c r="J181" s="547"/>
      <c r="K181" s="547">
        <v>0</v>
      </c>
      <c r="L181" s="547">
        <v>0</v>
      </c>
      <c r="M181" s="547">
        <v>0</v>
      </c>
      <c r="N181" s="551"/>
    </row>
    <row r="182" spans="1:14" s="544" customFormat="1" ht="30" customHeight="1">
      <c r="A182" s="1851">
        <v>2</v>
      </c>
      <c r="B182" s="1813" t="s">
        <v>261</v>
      </c>
      <c r="C182" s="1836" t="s">
        <v>53</v>
      </c>
      <c r="D182" s="548">
        <v>1</v>
      </c>
      <c r="E182" s="550">
        <v>290563.23600000003</v>
      </c>
      <c r="F182" s="550">
        <v>74307.692307692298</v>
      </c>
      <c r="G182" s="550"/>
      <c r="H182" s="547"/>
      <c r="I182" s="547"/>
      <c r="J182" s="547"/>
      <c r="K182" s="547">
        <v>364870.92830769235</v>
      </c>
      <c r="L182" s="547">
        <v>54730.639246153849</v>
      </c>
      <c r="M182" s="547">
        <v>419601.56755384617</v>
      </c>
      <c r="N182" s="551">
        <v>10597.927499999998</v>
      </c>
    </row>
    <row r="183" spans="1:14" s="544" customFormat="1" ht="30" customHeight="1">
      <c r="A183" s="1852"/>
      <c r="B183" s="1813"/>
      <c r="C183" s="1836"/>
      <c r="D183" s="548" t="s">
        <v>34</v>
      </c>
      <c r="E183" s="550">
        <v>299786.30099999998</v>
      </c>
      <c r="F183" s="550">
        <v>81738.461538461546</v>
      </c>
      <c r="G183" s="550"/>
      <c r="H183" s="547"/>
      <c r="I183" s="547"/>
      <c r="J183" s="547"/>
      <c r="K183" s="547">
        <v>381524.76253846154</v>
      </c>
      <c r="L183" s="547">
        <v>57228.714380769226</v>
      </c>
      <c r="M183" s="547">
        <v>438753.47691923077</v>
      </c>
      <c r="N183" s="551">
        <v>10961.077499999998</v>
      </c>
    </row>
    <row r="184" spans="1:14" s="544" customFormat="1" ht="30" customHeight="1">
      <c r="A184" s="1852"/>
      <c r="B184" s="1813"/>
      <c r="C184" s="1836"/>
      <c r="D184" s="548" t="s">
        <v>35</v>
      </c>
      <c r="E184" s="550">
        <v>309931.67249999999</v>
      </c>
      <c r="F184" s="550">
        <v>89912.307692307688</v>
      </c>
      <c r="G184" s="550"/>
      <c r="H184" s="547"/>
      <c r="I184" s="547"/>
      <c r="J184" s="547"/>
      <c r="K184" s="547">
        <v>399843.98019230767</v>
      </c>
      <c r="L184" s="547">
        <v>59976.597028846147</v>
      </c>
      <c r="M184" s="547">
        <v>459820.57722115383</v>
      </c>
      <c r="N184" s="551">
        <v>11360.542499999998</v>
      </c>
    </row>
    <row r="185" spans="1:14" s="544" customFormat="1" ht="30" customHeight="1">
      <c r="A185" s="1852"/>
      <c r="B185" s="1813"/>
      <c r="C185" s="1836"/>
      <c r="D185" s="548" t="s">
        <v>158</v>
      </c>
      <c r="E185" s="550">
        <v>321101.82899999997</v>
      </c>
      <c r="F185" s="550">
        <v>98935.384615384624</v>
      </c>
      <c r="G185" s="550"/>
      <c r="H185" s="547"/>
      <c r="I185" s="547"/>
      <c r="J185" s="547"/>
      <c r="K185" s="547">
        <v>420037.21361538459</v>
      </c>
      <c r="L185" s="547">
        <v>63005.582042307688</v>
      </c>
      <c r="M185" s="547">
        <v>483042.7956576923</v>
      </c>
      <c r="N185" s="551">
        <v>11800.357499999998</v>
      </c>
    </row>
    <row r="186" spans="1:14" s="544" customFormat="1" ht="30" customHeight="1">
      <c r="A186" s="1853"/>
      <c r="B186" s="1813"/>
      <c r="C186" s="1836"/>
      <c r="D186" s="548" t="s">
        <v>159</v>
      </c>
      <c r="E186" s="550">
        <v>332784.37799999997</v>
      </c>
      <c r="F186" s="550">
        <v>108807.6923076923</v>
      </c>
      <c r="G186" s="550"/>
      <c r="H186" s="547"/>
      <c r="I186" s="547"/>
      <c r="J186" s="547"/>
      <c r="K186" s="547">
        <v>441592.07030769228</v>
      </c>
      <c r="L186" s="547">
        <v>66238.810546153836</v>
      </c>
      <c r="M186" s="547">
        <v>507830.88085384609</v>
      </c>
      <c r="N186" s="551">
        <v>12260.347499999998</v>
      </c>
    </row>
    <row r="187" spans="1:14" s="544" customFormat="1" ht="30" customHeight="1">
      <c r="A187" s="1851">
        <v>3</v>
      </c>
      <c r="B187" s="1813" t="s">
        <v>262</v>
      </c>
      <c r="C187" s="1836" t="s">
        <v>53</v>
      </c>
      <c r="D187" s="548">
        <v>1</v>
      </c>
      <c r="E187" s="550">
        <v>888120.12000000011</v>
      </c>
      <c r="F187" s="550">
        <v>74307.692307692298</v>
      </c>
      <c r="G187" s="550"/>
      <c r="H187" s="547"/>
      <c r="I187" s="547"/>
      <c r="J187" s="547"/>
      <c r="K187" s="547">
        <v>962427.81230769237</v>
      </c>
      <c r="L187" s="547">
        <v>144364.17184615385</v>
      </c>
      <c r="M187" s="547">
        <v>1106791.9841538463</v>
      </c>
      <c r="N187" s="551">
        <v>32636.424999999996</v>
      </c>
    </row>
    <row r="188" spans="1:14" s="544" customFormat="1" ht="30" customHeight="1">
      <c r="A188" s="1852"/>
      <c r="B188" s="1813"/>
      <c r="C188" s="1836">
        <v>0</v>
      </c>
      <c r="D188" s="548" t="s">
        <v>34</v>
      </c>
      <c r="E188" s="550">
        <v>918863.66999999993</v>
      </c>
      <c r="F188" s="550">
        <v>81738.461538461546</v>
      </c>
      <c r="G188" s="550"/>
      <c r="H188" s="547"/>
      <c r="I188" s="547"/>
      <c r="J188" s="547"/>
      <c r="K188" s="547">
        <v>1000602.1315384614</v>
      </c>
      <c r="L188" s="547">
        <v>150090.3197307692</v>
      </c>
      <c r="M188" s="547">
        <v>1150692.4512692306</v>
      </c>
      <c r="N188" s="551">
        <v>33846.924999999996</v>
      </c>
    </row>
    <row r="189" spans="1:14" s="544" customFormat="1" ht="30" customHeight="1">
      <c r="A189" s="1852"/>
      <c r="B189" s="1813"/>
      <c r="C189" s="1836">
        <v>0</v>
      </c>
      <c r="D189" s="548" t="s">
        <v>35</v>
      </c>
      <c r="E189" s="550">
        <v>952681.57499999995</v>
      </c>
      <c r="F189" s="550">
        <v>89912.307692307688</v>
      </c>
      <c r="G189" s="550"/>
      <c r="H189" s="547"/>
      <c r="I189" s="547"/>
      <c r="J189" s="547"/>
      <c r="K189" s="547">
        <v>1042593.8826923077</v>
      </c>
      <c r="L189" s="547">
        <v>156389.08240384614</v>
      </c>
      <c r="M189" s="547">
        <v>1198982.9650961538</v>
      </c>
      <c r="N189" s="551">
        <v>35178.474999999991</v>
      </c>
    </row>
    <row r="190" spans="1:14" s="544" customFormat="1" ht="30" customHeight="1">
      <c r="A190" s="1852"/>
      <c r="B190" s="1813"/>
      <c r="C190" s="1836">
        <v>0</v>
      </c>
      <c r="D190" s="548" t="s">
        <v>158</v>
      </c>
      <c r="E190" s="550">
        <v>989915.42999999993</v>
      </c>
      <c r="F190" s="550">
        <v>98935.384615384624</v>
      </c>
      <c r="G190" s="550"/>
      <c r="H190" s="547"/>
      <c r="I190" s="547"/>
      <c r="J190" s="547"/>
      <c r="K190" s="547">
        <v>1088850.8146153847</v>
      </c>
      <c r="L190" s="547">
        <v>163327.6221923077</v>
      </c>
      <c r="M190" s="547">
        <v>1252178.4368076923</v>
      </c>
      <c r="N190" s="551">
        <v>36644.524999999994</v>
      </c>
    </row>
    <row r="191" spans="1:14" s="544" customFormat="1" ht="30" customHeight="1">
      <c r="A191" s="1853"/>
      <c r="B191" s="1813"/>
      <c r="C191" s="1836">
        <v>0</v>
      </c>
      <c r="D191" s="548" t="s">
        <v>159</v>
      </c>
      <c r="E191" s="550">
        <v>1028857.26</v>
      </c>
      <c r="F191" s="550">
        <v>108807.6923076923</v>
      </c>
      <c r="G191" s="550"/>
      <c r="H191" s="547"/>
      <c r="I191" s="547"/>
      <c r="J191" s="547"/>
      <c r="K191" s="547">
        <v>1137664.9523076923</v>
      </c>
      <c r="L191" s="547">
        <v>170649.74284615382</v>
      </c>
      <c r="M191" s="547">
        <v>1308314.6951538462</v>
      </c>
      <c r="N191" s="551">
        <v>38177.824999999997</v>
      </c>
    </row>
    <row r="192" spans="1:14" s="544" customFormat="1" ht="30" customHeight="1">
      <c r="A192" s="1851">
        <v>4</v>
      </c>
      <c r="B192" s="1813" t="s">
        <v>263</v>
      </c>
      <c r="C192" s="1836" t="s">
        <v>53</v>
      </c>
      <c r="D192" s="548">
        <v>1</v>
      </c>
      <c r="E192" s="550">
        <v>1077672.5955000001</v>
      </c>
      <c r="F192" s="550">
        <v>66876.923076923063</v>
      </c>
      <c r="G192" s="550"/>
      <c r="H192" s="547"/>
      <c r="I192" s="547"/>
      <c r="J192" s="547"/>
      <c r="K192" s="547">
        <v>1144549.5185769231</v>
      </c>
      <c r="L192" s="547">
        <v>171682.42778653846</v>
      </c>
      <c r="M192" s="547">
        <v>1316231.9463634614</v>
      </c>
      <c r="N192" s="551">
        <v>39480.457499999997</v>
      </c>
    </row>
    <row r="193" spans="1:14" s="544" customFormat="1" ht="30" customHeight="1">
      <c r="A193" s="1852"/>
      <c r="B193" s="1813"/>
      <c r="C193" s="1836">
        <v>0</v>
      </c>
      <c r="D193" s="548" t="s">
        <v>34</v>
      </c>
      <c r="E193" s="550">
        <v>1105341.7904999999</v>
      </c>
      <c r="F193" s="550">
        <v>73564.61538461539</v>
      </c>
      <c r="G193" s="550"/>
      <c r="H193" s="547"/>
      <c r="I193" s="547"/>
      <c r="J193" s="547"/>
      <c r="K193" s="547">
        <v>1178906.4058846154</v>
      </c>
      <c r="L193" s="547">
        <v>176835.96088269231</v>
      </c>
      <c r="M193" s="547">
        <v>1355742.3667673077</v>
      </c>
      <c r="N193" s="551">
        <v>40569.907499999994</v>
      </c>
    </row>
    <row r="194" spans="1:14" s="544" customFormat="1" ht="30" customHeight="1">
      <c r="A194" s="1852"/>
      <c r="B194" s="1813"/>
      <c r="C194" s="1836">
        <v>0</v>
      </c>
      <c r="D194" s="548" t="s">
        <v>35</v>
      </c>
      <c r="E194" s="550">
        <v>1135777.905</v>
      </c>
      <c r="F194" s="550">
        <v>80921.076923076922</v>
      </c>
      <c r="G194" s="550"/>
      <c r="H194" s="547"/>
      <c r="I194" s="547"/>
      <c r="J194" s="547"/>
      <c r="K194" s="547">
        <v>1216698.981923077</v>
      </c>
      <c r="L194" s="547">
        <v>182504.84728846155</v>
      </c>
      <c r="M194" s="547">
        <v>1399203.8292115387</v>
      </c>
      <c r="N194" s="551">
        <v>41768.302499999991</v>
      </c>
    </row>
    <row r="195" spans="1:14" s="544" customFormat="1" ht="30" customHeight="1">
      <c r="A195" s="1852"/>
      <c r="B195" s="1813"/>
      <c r="C195" s="1836">
        <v>0</v>
      </c>
      <c r="D195" s="548" t="s">
        <v>158</v>
      </c>
      <c r="E195" s="550">
        <v>1169288.3744999999</v>
      </c>
      <c r="F195" s="550">
        <v>89041.846153846171</v>
      </c>
      <c r="G195" s="550"/>
      <c r="H195" s="547"/>
      <c r="I195" s="547"/>
      <c r="J195" s="547"/>
      <c r="K195" s="547">
        <v>1258330.2206538462</v>
      </c>
      <c r="L195" s="547">
        <v>188749.53309807691</v>
      </c>
      <c r="M195" s="547">
        <v>1447079.7537519231</v>
      </c>
      <c r="N195" s="551">
        <v>43087.747499999998</v>
      </c>
    </row>
    <row r="196" spans="1:14" s="544" customFormat="1" ht="30" customHeight="1">
      <c r="A196" s="1853"/>
      <c r="B196" s="1813"/>
      <c r="C196" s="1836">
        <v>0</v>
      </c>
      <c r="D196" s="548" t="s">
        <v>159</v>
      </c>
      <c r="E196" s="550">
        <v>1204336.0215</v>
      </c>
      <c r="F196" s="550">
        <v>97926.923076923063</v>
      </c>
      <c r="G196" s="550"/>
      <c r="H196" s="547"/>
      <c r="I196" s="547"/>
      <c r="J196" s="547"/>
      <c r="K196" s="547">
        <v>1302262.944576923</v>
      </c>
      <c r="L196" s="547">
        <v>195339.44168653846</v>
      </c>
      <c r="M196" s="547">
        <v>1497602.3862634616</v>
      </c>
      <c r="N196" s="551">
        <v>44467.717499999999</v>
      </c>
    </row>
    <row r="197" spans="1:14" s="544" customFormat="1" ht="30" customHeight="1">
      <c r="A197" s="1851">
        <v>5</v>
      </c>
      <c r="B197" s="1813" t="s">
        <v>264</v>
      </c>
      <c r="C197" s="1836" t="s">
        <v>53</v>
      </c>
      <c r="D197" s="548">
        <v>1</v>
      </c>
      <c r="E197" s="550">
        <v>679235.54500000016</v>
      </c>
      <c r="F197" s="550"/>
      <c r="G197" s="550"/>
      <c r="H197" s="547"/>
      <c r="I197" s="547"/>
      <c r="J197" s="547"/>
      <c r="K197" s="547">
        <v>679235.54500000016</v>
      </c>
      <c r="L197" s="547">
        <v>101885.33175000003</v>
      </c>
      <c r="M197" s="547">
        <v>781120.87675000017</v>
      </c>
      <c r="N197" s="551">
        <v>24633.674999999996</v>
      </c>
    </row>
    <row r="198" spans="1:14" s="544" customFormat="1" ht="30" customHeight="1">
      <c r="A198" s="1852"/>
      <c r="B198" s="1813"/>
      <c r="C198" s="1836">
        <v>0</v>
      </c>
      <c r="D198" s="548" t="s">
        <v>34</v>
      </c>
      <c r="E198" s="550">
        <v>679235.54499999993</v>
      </c>
      <c r="F198" s="550"/>
      <c r="G198" s="550"/>
      <c r="H198" s="547"/>
      <c r="I198" s="547"/>
      <c r="J198" s="547"/>
      <c r="K198" s="547">
        <v>679235.54499999993</v>
      </c>
      <c r="L198" s="547">
        <v>101885.33174999998</v>
      </c>
      <c r="M198" s="547">
        <v>781120.87674999994</v>
      </c>
      <c r="N198" s="551">
        <v>24633.674999999996</v>
      </c>
    </row>
    <row r="199" spans="1:14" s="544" customFormat="1" ht="30" customHeight="1">
      <c r="A199" s="1852"/>
      <c r="B199" s="1813"/>
      <c r="C199" s="1836">
        <v>0</v>
      </c>
      <c r="D199" s="548" t="s">
        <v>35</v>
      </c>
      <c r="E199" s="550">
        <v>679235.54499999993</v>
      </c>
      <c r="F199" s="550"/>
      <c r="G199" s="550"/>
      <c r="H199" s="547"/>
      <c r="I199" s="547"/>
      <c r="J199" s="547"/>
      <c r="K199" s="547">
        <v>679235.54499999993</v>
      </c>
      <c r="L199" s="547">
        <v>101885.33174999998</v>
      </c>
      <c r="M199" s="547">
        <v>781120.87674999994</v>
      </c>
      <c r="N199" s="551">
        <v>24633.674999999992</v>
      </c>
    </row>
    <row r="200" spans="1:14" s="544" customFormat="1" ht="30" customHeight="1">
      <c r="A200" s="1852"/>
      <c r="B200" s="1813"/>
      <c r="C200" s="1836">
        <v>0</v>
      </c>
      <c r="D200" s="548" t="s">
        <v>158</v>
      </c>
      <c r="E200" s="550">
        <v>679235.54499999993</v>
      </c>
      <c r="F200" s="550"/>
      <c r="G200" s="550"/>
      <c r="H200" s="547"/>
      <c r="I200" s="547"/>
      <c r="J200" s="547"/>
      <c r="K200" s="547">
        <v>679235.54499999993</v>
      </c>
      <c r="L200" s="547">
        <v>101885.33174999998</v>
      </c>
      <c r="M200" s="547">
        <v>781120.87674999994</v>
      </c>
      <c r="N200" s="551">
        <v>24633.674999999996</v>
      </c>
    </row>
    <row r="201" spans="1:14" s="544" customFormat="1" ht="30" customHeight="1">
      <c r="A201" s="1853"/>
      <c r="B201" s="1813"/>
      <c r="C201" s="1836">
        <v>0</v>
      </c>
      <c r="D201" s="548" t="s">
        <v>159</v>
      </c>
      <c r="E201" s="550">
        <v>679235.54500000004</v>
      </c>
      <c r="F201" s="550"/>
      <c r="G201" s="550"/>
      <c r="H201" s="547"/>
      <c r="I201" s="547"/>
      <c r="J201" s="547"/>
      <c r="K201" s="547">
        <v>679235.54500000004</v>
      </c>
      <c r="L201" s="547">
        <v>101885.33175</v>
      </c>
      <c r="M201" s="547">
        <v>781120.87675000005</v>
      </c>
      <c r="N201" s="551">
        <v>24633.674999999996</v>
      </c>
    </row>
    <row r="202" spans="1:14" s="544" customFormat="1" ht="30" customHeight="1">
      <c r="A202" s="1849" t="s">
        <v>518</v>
      </c>
      <c r="B202" s="1837"/>
      <c r="C202" s="1837"/>
      <c r="D202" s="1837"/>
      <c r="E202" s="1837"/>
      <c r="F202" s="1837"/>
      <c r="G202" s="1837"/>
      <c r="H202" s="1837"/>
      <c r="I202" s="1837"/>
      <c r="J202" s="1837"/>
      <c r="K202" s="1837"/>
      <c r="L202" s="1837"/>
      <c r="M202" s="1837"/>
      <c r="N202" s="1838"/>
    </row>
    <row r="203" spans="1:14" s="544" customFormat="1" ht="30" customHeight="1">
      <c r="A203" s="1830" t="s">
        <v>20</v>
      </c>
      <c r="B203" s="1831" t="s">
        <v>430</v>
      </c>
      <c r="C203" s="1832" t="s">
        <v>53</v>
      </c>
      <c r="D203" s="585">
        <v>1</v>
      </c>
      <c r="E203" s="537">
        <v>1465174.52</v>
      </c>
      <c r="F203" s="537">
        <v>96600</v>
      </c>
      <c r="G203" s="537">
        <v>4513.0166666666664</v>
      </c>
      <c r="H203" s="537">
        <v>5343.84</v>
      </c>
      <c r="I203" s="537">
        <v>8758.6031520000015</v>
      </c>
      <c r="J203" s="537">
        <v>19447.833599999998</v>
      </c>
      <c r="K203" s="537">
        <v>1599837.8134186668</v>
      </c>
      <c r="L203" s="537">
        <v>239975.6720128</v>
      </c>
      <c r="M203" s="537">
        <v>1839813.4854314667</v>
      </c>
      <c r="N203" s="538">
        <v>64600.349999999991</v>
      </c>
    </row>
    <row r="204" spans="1:14" s="544" customFormat="1" ht="30" customHeight="1">
      <c r="A204" s="1830"/>
      <c r="B204" s="1831"/>
      <c r="C204" s="1832"/>
      <c r="D204" s="585" t="s">
        <v>34</v>
      </c>
      <c r="E204" s="537">
        <v>1505141.135</v>
      </c>
      <c r="F204" s="537">
        <v>106259.99999999999</v>
      </c>
      <c r="G204" s="537">
        <v>4513.0166666666664</v>
      </c>
      <c r="H204" s="537">
        <v>5343.84</v>
      </c>
      <c r="I204" s="537">
        <v>8758.6031520000015</v>
      </c>
      <c r="J204" s="537">
        <v>19447.833599999998</v>
      </c>
      <c r="K204" s="537">
        <v>1649464.4284186668</v>
      </c>
      <c r="L204" s="537">
        <v>247419.66426280001</v>
      </c>
      <c r="M204" s="537">
        <v>1896884.0926814668</v>
      </c>
      <c r="N204" s="538">
        <v>66174</v>
      </c>
    </row>
    <row r="205" spans="1:14" s="544" customFormat="1" ht="30" customHeight="1">
      <c r="A205" s="1830"/>
      <c r="B205" s="1831"/>
      <c r="C205" s="1832"/>
      <c r="D205" s="585" t="s">
        <v>35</v>
      </c>
      <c r="E205" s="537">
        <v>1549206.8900000001</v>
      </c>
      <c r="F205" s="537">
        <v>116875.38461538461</v>
      </c>
      <c r="G205" s="537">
        <v>4513.0166666666664</v>
      </c>
      <c r="H205" s="537">
        <v>5343.84</v>
      </c>
      <c r="I205" s="537">
        <v>8758.6031520000015</v>
      </c>
      <c r="J205" s="537">
        <v>19447.833599999998</v>
      </c>
      <c r="K205" s="537">
        <v>1704145.5680340515</v>
      </c>
      <c r="L205" s="537">
        <v>255621.83520510769</v>
      </c>
      <c r="M205" s="537">
        <v>1959767.4032391591</v>
      </c>
      <c r="N205" s="538">
        <v>67909.049999999988</v>
      </c>
    </row>
    <row r="206" spans="1:14" s="544" customFormat="1" ht="30" customHeight="1">
      <c r="A206" s="1830"/>
      <c r="B206" s="1831"/>
      <c r="C206" s="1832"/>
      <c r="D206" s="585" t="s">
        <v>158</v>
      </c>
      <c r="E206" s="537">
        <v>1597371.7850000001</v>
      </c>
      <c r="F206" s="537">
        <v>128658.46153846153</v>
      </c>
      <c r="G206" s="537">
        <v>4513.0166666666664</v>
      </c>
      <c r="H206" s="537">
        <v>5343.84</v>
      </c>
      <c r="I206" s="537">
        <v>8758.6031520000015</v>
      </c>
      <c r="J206" s="537">
        <v>19447.833599999998</v>
      </c>
      <c r="K206" s="537">
        <v>1764093.5399571285</v>
      </c>
      <c r="L206" s="537">
        <v>264614.03099356923</v>
      </c>
      <c r="M206" s="537">
        <v>2028707.5709506976</v>
      </c>
      <c r="N206" s="538">
        <v>69805.5</v>
      </c>
    </row>
    <row r="207" spans="1:14" s="544" customFormat="1" ht="30" customHeight="1">
      <c r="A207" s="1830"/>
      <c r="B207" s="1831"/>
      <c r="C207" s="1832"/>
      <c r="D207" s="585" t="s">
        <v>159</v>
      </c>
      <c r="E207" s="537">
        <v>1648269.44</v>
      </c>
      <c r="F207" s="537">
        <v>141503.07692307694</v>
      </c>
      <c r="G207" s="537">
        <v>4513.0166666666664</v>
      </c>
      <c r="H207" s="537">
        <v>5343.84</v>
      </c>
      <c r="I207" s="537">
        <v>8758.6031520000015</v>
      </c>
      <c r="J207" s="537">
        <v>19447.833599999998</v>
      </c>
      <c r="K207" s="537">
        <v>1827835.8103417438</v>
      </c>
      <c r="L207" s="537">
        <v>274175.37155126157</v>
      </c>
      <c r="M207" s="537">
        <v>2102011.1818930055</v>
      </c>
      <c r="N207" s="538">
        <v>71809.55</v>
      </c>
    </row>
    <row r="208" spans="1:14" s="544" customFormat="1" ht="30" customHeight="1">
      <c r="A208" s="1833" t="s">
        <v>126</v>
      </c>
      <c r="B208" s="1834" t="s">
        <v>140</v>
      </c>
      <c r="C208" s="1835" t="s">
        <v>53</v>
      </c>
      <c r="D208" s="540">
        <v>1</v>
      </c>
      <c r="E208" s="542">
        <v>965048.05999999994</v>
      </c>
      <c r="F208" s="542">
        <v>96600</v>
      </c>
      <c r="G208" s="542">
        <v>2278.7697916666666</v>
      </c>
      <c r="H208" s="542">
        <v>5343.84</v>
      </c>
      <c r="I208" s="542">
        <v>706.62799999999993</v>
      </c>
      <c r="J208" s="542">
        <v>3955.0524</v>
      </c>
      <c r="K208" s="542">
        <v>1073932.3501916667</v>
      </c>
      <c r="L208" s="542">
        <v>161089.85252874999</v>
      </c>
      <c r="M208" s="542">
        <v>1235022.2027204167</v>
      </c>
      <c r="N208" s="543">
        <v>35998.924999999996</v>
      </c>
    </row>
    <row r="209" spans="1:14" s="544" customFormat="1" ht="30" customHeight="1">
      <c r="A209" s="1833"/>
      <c r="B209" s="1834"/>
      <c r="C209" s="1835"/>
      <c r="D209" s="540" t="s">
        <v>34</v>
      </c>
      <c r="E209" s="542">
        <v>1005014.6749999999</v>
      </c>
      <c r="F209" s="542">
        <v>106259.99999999999</v>
      </c>
      <c r="G209" s="542">
        <v>2278.7697916666666</v>
      </c>
      <c r="H209" s="542">
        <v>5343.84</v>
      </c>
      <c r="I209" s="542">
        <v>706.62799999999993</v>
      </c>
      <c r="J209" s="542">
        <v>3955.0524</v>
      </c>
      <c r="K209" s="542">
        <v>1123558.9651916665</v>
      </c>
      <c r="L209" s="542">
        <v>168533.84477874998</v>
      </c>
      <c r="M209" s="542">
        <v>1292092.8099704166</v>
      </c>
      <c r="N209" s="543">
        <v>37572.574999999997</v>
      </c>
    </row>
    <row r="210" spans="1:14" s="544" customFormat="1" ht="30" customHeight="1">
      <c r="A210" s="1833"/>
      <c r="B210" s="1834"/>
      <c r="C210" s="1835"/>
      <c r="D210" s="540" t="s">
        <v>35</v>
      </c>
      <c r="E210" s="542">
        <v>1049080.43</v>
      </c>
      <c r="F210" s="542">
        <v>116875.38461538461</v>
      </c>
      <c r="G210" s="542">
        <v>2278.7697916666666</v>
      </c>
      <c r="H210" s="542">
        <v>5343.84</v>
      </c>
      <c r="I210" s="542">
        <v>706.62799999999993</v>
      </c>
      <c r="J210" s="542">
        <v>3955.0524</v>
      </c>
      <c r="K210" s="542">
        <v>1178240.1048070511</v>
      </c>
      <c r="L210" s="542">
        <v>176736.01572105766</v>
      </c>
      <c r="M210" s="542">
        <v>1354976.1205281089</v>
      </c>
      <c r="N210" s="543">
        <v>39307.625</v>
      </c>
    </row>
    <row r="211" spans="1:14" s="544" customFormat="1" ht="30" customHeight="1">
      <c r="A211" s="1833"/>
      <c r="B211" s="1834"/>
      <c r="C211" s="1835"/>
      <c r="D211" s="540" t="s">
        <v>158</v>
      </c>
      <c r="E211" s="542">
        <v>1097245.3250000002</v>
      </c>
      <c r="F211" s="542">
        <v>128658.46153846153</v>
      </c>
      <c r="G211" s="542">
        <v>2278.7697916666666</v>
      </c>
      <c r="H211" s="542">
        <v>5343.84</v>
      </c>
      <c r="I211" s="542">
        <v>706.62799999999993</v>
      </c>
      <c r="J211" s="542">
        <v>3955.0524</v>
      </c>
      <c r="K211" s="542">
        <v>1238188.0767301284</v>
      </c>
      <c r="L211" s="542">
        <v>185728.21150951926</v>
      </c>
      <c r="M211" s="542">
        <v>1423916.2882396476</v>
      </c>
      <c r="N211" s="543">
        <v>41204.074999999997</v>
      </c>
    </row>
    <row r="212" spans="1:14" s="544" customFormat="1" ht="30" customHeight="1">
      <c r="A212" s="1833"/>
      <c r="B212" s="1834"/>
      <c r="C212" s="1835"/>
      <c r="D212" s="540" t="s">
        <v>159</v>
      </c>
      <c r="E212" s="542">
        <v>1148142.98</v>
      </c>
      <c r="F212" s="542">
        <v>141503.07692307694</v>
      </c>
      <c r="G212" s="542">
        <v>2278.7697916666666</v>
      </c>
      <c r="H212" s="542">
        <v>5343.84</v>
      </c>
      <c r="I212" s="542">
        <v>706.62799999999993</v>
      </c>
      <c r="J212" s="542">
        <v>3955.0524</v>
      </c>
      <c r="K212" s="542">
        <v>1301930.3471147437</v>
      </c>
      <c r="L212" s="542">
        <v>195289.55206721154</v>
      </c>
      <c r="M212" s="542">
        <v>1497219.8991819553</v>
      </c>
      <c r="N212" s="543">
        <v>43208.125000000007</v>
      </c>
    </row>
    <row r="213" spans="1:14" s="544" customFormat="1" ht="39.950000000000003" customHeight="1">
      <c r="A213" s="539" t="s">
        <v>127</v>
      </c>
      <c r="B213" s="545" t="s">
        <v>166</v>
      </c>
      <c r="C213" s="540" t="s">
        <v>53</v>
      </c>
      <c r="D213" s="540"/>
      <c r="E213" s="542">
        <v>447850.86</v>
      </c>
      <c r="F213" s="542">
        <v>0</v>
      </c>
      <c r="G213" s="542">
        <v>2234.2468749999998</v>
      </c>
      <c r="H213" s="542">
        <v>0</v>
      </c>
      <c r="I213" s="542">
        <v>8051.9751520000009</v>
      </c>
      <c r="J213" s="542">
        <v>15492.781199999999</v>
      </c>
      <c r="K213" s="542">
        <v>473629.86322700005</v>
      </c>
      <c r="L213" s="542">
        <v>71044.479484050011</v>
      </c>
      <c r="M213" s="542">
        <v>544674.34271105006</v>
      </c>
      <c r="N213" s="543">
        <v>26852.924999999996</v>
      </c>
    </row>
    <row r="214" spans="1:14" s="544" customFormat="1" ht="80.099999999999994" customHeight="1">
      <c r="A214" s="546" t="s">
        <v>160</v>
      </c>
      <c r="B214" s="559" t="s">
        <v>205</v>
      </c>
      <c r="C214" s="548">
        <v>0</v>
      </c>
      <c r="D214" s="548">
        <v>0</v>
      </c>
      <c r="E214" s="550"/>
      <c r="F214" s="550"/>
      <c r="G214" s="550">
        <v>0</v>
      </c>
      <c r="H214" s="550">
        <v>0</v>
      </c>
      <c r="I214" s="550">
        <v>0</v>
      </c>
      <c r="J214" s="550">
        <v>0</v>
      </c>
      <c r="K214" s="550">
        <v>0</v>
      </c>
      <c r="L214" s="550">
        <v>0</v>
      </c>
      <c r="M214" s="550">
        <v>0</v>
      </c>
      <c r="N214" s="551">
        <v>0</v>
      </c>
    </row>
    <row r="215" spans="1:14" s="544" customFormat="1" ht="30" customHeight="1">
      <c r="A215" s="553" t="s">
        <v>170</v>
      </c>
      <c r="B215" s="574" t="s">
        <v>168</v>
      </c>
      <c r="C215" s="555" t="s">
        <v>1</v>
      </c>
      <c r="D215" s="555" t="s">
        <v>204</v>
      </c>
      <c r="E215" s="556">
        <v>167256</v>
      </c>
      <c r="F215" s="556">
        <v>0</v>
      </c>
      <c r="G215" s="556">
        <v>0</v>
      </c>
      <c r="H215" s="556">
        <v>0</v>
      </c>
      <c r="I215" s="556">
        <v>0</v>
      </c>
      <c r="J215" s="556">
        <v>0</v>
      </c>
      <c r="K215" s="556">
        <v>167256</v>
      </c>
      <c r="L215" s="556">
        <v>25088.399999999998</v>
      </c>
      <c r="M215" s="556">
        <v>192344.4</v>
      </c>
      <c r="N215" s="557">
        <v>336.25</v>
      </c>
    </row>
    <row r="216" spans="1:14" s="544" customFormat="1" ht="30" customHeight="1">
      <c r="A216" s="553" t="s">
        <v>172</v>
      </c>
      <c r="B216" s="574" t="s">
        <v>169</v>
      </c>
      <c r="C216" s="555" t="s">
        <v>1</v>
      </c>
      <c r="D216" s="555" t="s">
        <v>204</v>
      </c>
      <c r="E216" s="556">
        <v>1492585.8740000001</v>
      </c>
      <c r="F216" s="556">
        <v>37103.170000000006</v>
      </c>
      <c r="G216" s="556">
        <v>0</v>
      </c>
      <c r="H216" s="556">
        <v>0</v>
      </c>
      <c r="I216" s="556">
        <v>0</v>
      </c>
      <c r="J216" s="556">
        <v>0</v>
      </c>
      <c r="K216" s="556">
        <v>1529689.044</v>
      </c>
      <c r="L216" s="556">
        <v>229453.3566</v>
      </c>
      <c r="M216" s="556">
        <v>1759142.4006000001</v>
      </c>
      <c r="N216" s="557">
        <v>672.5</v>
      </c>
    </row>
    <row r="217" spans="1:14" s="544" customFormat="1" ht="30" customHeight="1">
      <c r="A217" s="546" t="s">
        <v>37</v>
      </c>
      <c r="B217" s="559" t="s">
        <v>178</v>
      </c>
      <c r="C217" s="548" t="s">
        <v>144</v>
      </c>
      <c r="D217" s="548" t="s">
        <v>204</v>
      </c>
      <c r="E217" s="550">
        <v>183954.00000000003</v>
      </c>
      <c r="F217" s="550">
        <v>0</v>
      </c>
      <c r="G217" s="550">
        <v>0</v>
      </c>
      <c r="H217" s="550">
        <v>0</v>
      </c>
      <c r="I217" s="550">
        <v>0</v>
      </c>
      <c r="J217" s="550">
        <v>0</v>
      </c>
      <c r="K217" s="550">
        <v>183954.00000000003</v>
      </c>
      <c r="L217" s="550">
        <v>27593.100000000002</v>
      </c>
      <c r="M217" s="550">
        <v>211547.10000000003</v>
      </c>
      <c r="N217" s="551">
        <v>1345</v>
      </c>
    </row>
    <row r="218" spans="1:14" s="544" customFormat="1" ht="39.950000000000003" customHeight="1">
      <c r="A218" s="539" t="s">
        <v>128</v>
      </c>
      <c r="B218" s="545" t="s">
        <v>196</v>
      </c>
      <c r="C218" s="540"/>
      <c r="D218" s="540"/>
      <c r="E218" s="542">
        <v>52275.6</v>
      </c>
      <c r="F218" s="542">
        <v>0</v>
      </c>
      <c r="G218" s="542">
        <v>0</v>
      </c>
      <c r="H218" s="542">
        <v>0</v>
      </c>
      <c r="I218" s="542">
        <v>0</v>
      </c>
      <c r="J218" s="542">
        <v>0</v>
      </c>
      <c r="K218" s="542">
        <v>52275.6</v>
      </c>
      <c r="L218" s="542">
        <v>7841.3399999999992</v>
      </c>
      <c r="M218" s="542">
        <v>60116.939999999995</v>
      </c>
      <c r="N218" s="543">
        <v>1748.5</v>
      </c>
    </row>
    <row r="219" spans="1:14" s="544" customFormat="1" ht="30" customHeight="1">
      <c r="A219" s="1830" t="s">
        <v>22</v>
      </c>
      <c r="B219" s="1831" t="s">
        <v>431</v>
      </c>
      <c r="C219" s="1832" t="s">
        <v>53</v>
      </c>
      <c r="D219" s="585">
        <v>1</v>
      </c>
      <c r="E219" s="537">
        <v>1465174.52</v>
      </c>
      <c r="F219" s="537">
        <v>96600</v>
      </c>
      <c r="G219" s="537">
        <v>3603.8734374999999</v>
      </c>
      <c r="H219" s="537">
        <v>1086.48</v>
      </c>
      <c r="I219" s="537">
        <v>8280.203152</v>
      </c>
      <c r="J219" s="537">
        <v>17624.599200000001</v>
      </c>
      <c r="K219" s="537">
        <v>1592369.6757895001</v>
      </c>
      <c r="L219" s="537">
        <v>238855.45136842501</v>
      </c>
      <c r="M219" s="537">
        <v>1831225.1271579252</v>
      </c>
      <c r="N219" s="538">
        <v>64600.349999999991</v>
      </c>
    </row>
    <row r="220" spans="1:14" s="544" customFormat="1" ht="30" customHeight="1">
      <c r="A220" s="1830"/>
      <c r="B220" s="1831"/>
      <c r="C220" s="1832"/>
      <c r="D220" s="585" t="s">
        <v>34</v>
      </c>
      <c r="E220" s="537">
        <v>1505141.135</v>
      </c>
      <c r="F220" s="537">
        <v>106259.99999999999</v>
      </c>
      <c r="G220" s="537">
        <v>3603.8734374999999</v>
      </c>
      <c r="H220" s="537">
        <v>1086.48</v>
      </c>
      <c r="I220" s="537">
        <v>8280.203152</v>
      </c>
      <c r="J220" s="537">
        <v>17624.599200000001</v>
      </c>
      <c r="K220" s="537">
        <v>1641996.2907895001</v>
      </c>
      <c r="L220" s="537">
        <v>246299.44361842499</v>
      </c>
      <c r="M220" s="537">
        <v>1888295.734407925</v>
      </c>
      <c r="N220" s="538">
        <v>66174</v>
      </c>
    </row>
    <row r="221" spans="1:14" s="544" customFormat="1" ht="30" customHeight="1">
      <c r="A221" s="1830"/>
      <c r="B221" s="1831"/>
      <c r="C221" s="1832"/>
      <c r="D221" s="585" t="s">
        <v>35</v>
      </c>
      <c r="E221" s="537">
        <v>1549206.8900000001</v>
      </c>
      <c r="F221" s="537">
        <v>116875.38461538461</v>
      </c>
      <c r="G221" s="537">
        <v>3603.8734374999999</v>
      </c>
      <c r="H221" s="537">
        <v>1086.48</v>
      </c>
      <c r="I221" s="537">
        <v>8280.203152</v>
      </c>
      <c r="J221" s="537">
        <v>17624.599200000001</v>
      </c>
      <c r="K221" s="537">
        <v>1696677.4304048847</v>
      </c>
      <c r="L221" s="537">
        <v>254501.61456073271</v>
      </c>
      <c r="M221" s="537">
        <v>1951179.0449656174</v>
      </c>
      <c r="N221" s="538">
        <v>67909.049999999988</v>
      </c>
    </row>
    <row r="222" spans="1:14" s="544" customFormat="1" ht="30" customHeight="1">
      <c r="A222" s="1830"/>
      <c r="B222" s="1831"/>
      <c r="C222" s="1832"/>
      <c r="D222" s="585" t="s">
        <v>158</v>
      </c>
      <c r="E222" s="537">
        <v>1597371.7850000001</v>
      </c>
      <c r="F222" s="537">
        <v>128658.46153846153</v>
      </c>
      <c r="G222" s="537">
        <v>3603.8734374999999</v>
      </c>
      <c r="H222" s="537">
        <v>1086.48</v>
      </c>
      <c r="I222" s="537">
        <v>8280.203152</v>
      </c>
      <c r="J222" s="537">
        <v>17624.599200000001</v>
      </c>
      <c r="K222" s="537">
        <v>1756625.4023279618</v>
      </c>
      <c r="L222" s="537">
        <v>263493.81034919427</v>
      </c>
      <c r="M222" s="537">
        <v>2020119.2126771561</v>
      </c>
      <c r="N222" s="538">
        <v>69805.5</v>
      </c>
    </row>
    <row r="223" spans="1:14" s="544" customFormat="1" ht="30" customHeight="1">
      <c r="A223" s="1830"/>
      <c r="B223" s="1831"/>
      <c r="C223" s="1832"/>
      <c r="D223" s="585" t="s">
        <v>159</v>
      </c>
      <c r="E223" s="537">
        <v>1648269.44</v>
      </c>
      <c r="F223" s="537">
        <v>141503.07692307694</v>
      </c>
      <c r="G223" s="537">
        <v>3603.8734374999999</v>
      </c>
      <c r="H223" s="537">
        <v>1086.48</v>
      </c>
      <c r="I223" s="537">
        <v>8280.203152</v>
      </c>
      <c r="J223" s="537">
        <v>17624.599200000001</v>
      </c>
      <c r="K223" s="537">
        <v>1820367.672712577</v>
      </c>
      <c r="L223" s="537">
        <v>273055.15090688656</v>
      </c>
      <c r="M223" s="537">
        <v>2093422.8236194635</v>
      </c>
      <c r="N223" s="538">
        <v>71809.55</v>
      </c>
    </row>
    <row r="224" spans="1:14" s="544" customFormat="1" ht="30" customHeight="1">
      <c r="A224" s="1833" t="s">
        <v>126</v>
      </c>
      <c r="B224" s="1834" t="s">
        <v>140</v>
      </c>
      <c r="C224" s="1835" t="s">
        <v>53</v>
      </c>
      <c r="D224" s="540">
        <v>1</v>
      </c>
      <c r="E224" s="542">
        <v>965048.05999999994</v>
      </c>
      <c r="F224" s="542">
        <v>96600</v>
      </c>
      <c r="G224" s="542">
        <v>1369.6265625000001</v>
      </c>
      <c r="H224" s="542">
        <v>1086.48</v>
      </c>
      <c r="I224" s="542">
        <v>228.22800000000001</v>
      </c>
      <c r="J224" s="542">
        <v>2131.8179999999998</v>
      </c>
      <c r="K224" s="542">
        <v>1066464.2125624998</v>
      </c>
      <c r="L224" s="542">
        <v>159969.63188437498</v>
      </c>
      <c r="M224" s="542">
        <v>1226433.8444468747</v>
      </c>
      <c r="N224" s="543">
        <v>35998.924999999996</v>
      </c>
    </row>
    <row r="225" spans="1:14" s="544" customFormat="1" ht="30" customHeight="1">
      <c r="A225" s="1833">
        <v>0</v>
      </c>
      <c r="B225" s="1834">
        <v>0</v>
      </c>
      <c r="C225" s="1835">
        <v>0</v>
      </c>
      <c r="D225" s="540" t="s">
        <v>34</v>
      </c>
      <c r="E225" s="542">
        <v>1005014.6749999999</v>
      </c>
      <c r="F225" s="542">
        <v>106259.99999999999</v>
      </c>
      <c r="G225" s="542">
        <v>1369.6265625000001</v>
      </c>
      <c r="H225" s="542">
        <v>1086.48</v>
      </c>
      <c r="I225" s="542">
        <v>228.22800000000001</v>
      </c>
      <c r="J225" s="542">
        <v>2131.8179999999998</v>
      </c>
      <c r="K225" s="542">
        <v>1116090.8275624996</v>
      </c>
      <c r="L225" s="542">
        <v>167413.62413437493</v>
      </c>
      <c r="M225" s="542">
        <v>1283504.4516968746</v>
      </c>
      <c r="N225" s="543">
        <v>37572.574999999997</v>
      </c>
    </row>
    <row r="226" spans="1:14" s="544" customFormat="1" ht="30" customHeight="1">
      <c r="A226" s="1833">
        <v>0</v>
      </c>
      <c r="B226" s="1834">
        <v>0</v>
      </c>
      <c r="C226" s="1835">
        <v>0</v>
      </c>
      <c r="D226" s="540" t="s">
        <v>35</v>
      </c>
      <c r="E226" s="542">
        <v>1049080.43</v>
      </c>
      <c r="F226" s="542">
        <v>116875.38461538461</v>
      </c>
      <c r="G226" s="542">
        <v>1369.6265625000001</v>
      </c>
      <c r="H226" s="542">
        <v>1086.48</v>
      </c>
      <c r="I226" s="542">
        <v>228.22800000000001</v>
      </c>
      <c r="J226" s="542">
        <v>2131.8179999999998</v>
      </c>
      <c r="K226" s="542">
        <v>1170771.9671778842</v>
      </c>
      <c r="L226" s="542">
        <v>175615.79507668261</v>
      </c>
      <c r="M226" s="542">
        <v>1346387.7622545669</v>
      </c>
      <c r="N226" s="543">
        <v>39307.625</v>
      </c>
    </row>
    <row r="227" spans="1:14" s="544" customFormat="1" ht="30" customHeight="1">
      <c r="A227" s="1833">
        <v>0</v>
      </c>
      <c r="B227" s="1834">
        <v>0</v>
      </c>
      <c r="C227" s="1835">
        <v>0</v>
      </c>
      <c r="D227" s="540" t="s">
        <v>158</v>
      </c>
      <c r="E227" s="542">
        <v>1097245.3250000002</v>
      </c>
      <c r="F227" s="542">
        <v>128658.46153846153</v>
      </c>
      <c r="G227" s="542">
        <v>1369.6265625000001</v>
      </c>
      <c r="H227" s="542">
        <v>1086.48</v>
      </c>
      <c r="I227" s="542">
        <v>228.22800000000001</v>
      </c>
      <c r="J227" s="542">
        <v>2131.8179999999998</v>
      </c>
      <c r="K227" s="542">
        <v>1230719.9391009614</v>
      </c>
      <c r="L227" s="542">
        <v>184607.99086514421</v>
      </c>
      <c r="M227" s="542">
        <v>1415327.9299661056</v>
      </c>
      <c r="N227" s="543">
        <v>41204.074999999997</v>
      </c>
    </row>
    <row r="228" spans="1:14" s="544" customFormat="1" ht="30" customHeight="1">
      <c r="A228" s="1833">
        <v>0</v>
      </c>
      <c r="B228" s="1834">
        <v>0</v>
      </c>
      <c r="C228" s="1835">
        <v>0</v>
      </c>
      <c r="D228" s="540" t="s">
        <v>159</v>
      </c>
      <c r="E228" s="542">
        <v>1148142.98</v>
      </c>
      <c r="F228" s="542">
        <v>141503.07692307694</v>
      </c>
      <c r="G228" s="542">
        <v>1369.6265625000001</v>
      </c>
      <c r="H228" s="542">
        <v>1086.48</v>
      </c>
      <c r="I228" s="542">
        <v>228.22800000000001</v>
      </c>
      <c r="J228" s="542">
        <v>2131.8179999999998</v>
      </c>
      <c r="K228" s="542">
        <v>1294462.2094855767</v>
      </c>
      <c r="L228" s="542">
        <v>194169.33142283649</v>
      </c>
      <c r="M228" s="542">
        <v>1488631.5409084132</v>
      </c>
      <c r="N228" s="543">
        <v>43208.125000000007</v>
      </c>
    </row>
    <row r="229" spans="1:14" s="544" customFormat="1" ht="39.950000000000003" customHeight="1">
      <c r="A229" s="539" t="s">
        <v>127</v>
      </c>
      <c r="B229" s="545" t="s">
        <v>166</v>
      </c>
      <c r="C229" s="540" t="s">
        <v>53</v>
      </c>
      <c r="D229" s="540">
        <v>0</v>
      </c>
      <c r="E229" s="542">
        <v>447850.86</v>
      </c>
      <c r="F229" s="542">
        <v>0</v>
      </c>
      <c r="G229" s="542">
        <v>3143.3901041666672</v>
      </c>
      <c r="H229" s="542">
        <v>22198.32</v>
      </c>
      <c r="I229" s="542">
        <v>8530.3751520000005</v>
      </c>
      <c r="J229" s="542">
        <v>17313.66</v>
      </c>
      <c r="K229" s="542">
        <v>499036.6052561666</v>
      </c>
      <c r="L229" s="542">
        <v>74855.490788424984</v>
      </c>
      <c r="M229" s="542">
        <v>573892.09604459163</v>
      </c>
      <c r="N229" s="543">
        <v>26852.924999999996</v>
      </c>
    </row>
    <row r="230" spans="1:14" s="544" customFormat="1" ht="69.95" customHeight="1">
      <c r="A230" s="546" t="s">
        <v>160</v>
      </c>
      <c r="B230" s="559" t="s">
        <v>205</v>
      </c>
      <c r="C230" s="548">
        <v>0</v>
      </c>
      <c r="D230" s="548">
        <v>0</v>
      </c>
      <c r="E230" s="550">
        <v>0</v>
      </c>
      <c r="F230" s="550">
        <v>0</v>
      </c>
      <c r="G230" s="550"/>
      <c r="H230" s="550"/>
      <c r="I230" s="550"/>
      <c r="J230" s="550"/>
      <c r="K230" s="550">
        <v>0</v>
      </c>
      <c r="L230" s="550">
        <v>0</v>
      </c>
      <c r="M230" s="550">
        <v>0</v>
      </c>
      <c r="N230" s="551">
        <v>0</v>
      </c>
    </row>
    <row r="231" spans="1:14" s="544" customFormat="1" ht="30" customHeight="1">
      <c r="A231" s="553" t="s">
        <v>170</v>
      </c>
      <c r="B231" s="574" t="s">
        <v>168</v>
      </c>
      <c r="C231" s="555" t="s">
        <v>1</v>
      </c>
      <c r="D231" s="555" t="s">
        <v>204</v>
      </c>
      <c r="E231" s="556">
        <v>167256</v>
      </c>
      <c r="F231" s="556">
        <v>0</v>
      </c>
      <c r="G231" s="556"/>
      <c r="H231" s="556"/>
      <c r="I231" s="556"/>
      <c r="J231" s="556"/>
      <c r="K231" s="556">
        <v>167256</v>
      </c>
      <c r="L231" s="556">
        <v>25088.399999999998</v>
      </c>
      <c r="M231" s="556">
        <v>192344.4</v>
      </c>
      <c r="N231" s="557">
        <v>336.25</v>
      </c>
    </row>
    <row r="232" spans="1:14" s="544" customFormat="1" ht="30" customHeight="1">
      <c r="A232" s="553" t="s">
        <v>172</v>
      </c>
      <c r="B232" s="574" t="s">
        <v>169</v>
      </c>
      <c r="C232" s="555" t="s">
        <v>1</v>
      </c>
      <c r="D232" s="555" t="s">
        <v>204</v>
      </c>
      <c r="E232" s="556">
        <v>1492585.8740000001</v>
      </c>
      <c r="F232" s="556">
        <v>37103.170000000006</v>
      </c>
      <c r="G232" s="556"/>
      <c r="H232" s="556"/>
      <c r="I232" s="556"/>
      <c r="J232" s="556"/>
      <c r="K232" s="556">
        <v>1529689.044</v>
      </c>
      <c r="L232" s="556">
        <v>229453.3566</v>
      </c>
      <c r="M232" s="556">
        <v>1759142.4006000001</v>
      </c>
      <c r="N232" s="557">
        <v>672.5</v>
      </c>
    </row>
    <row r="233" spans="1:14" s="544" customFormat="1" ht="30" customHeight="1">
      <c r="A233" s="546" t="s">
        <v>37</v>
      </c>
      <c r="B233" s="559" t="s">
        <v>178</v>
      </c>
      <c r="C233" s="548" t="s">
        <v>144</v>
      </c>
      <c r="D233" s="548" t="s">
        <v>204</v>
      </c>
      <c r="E233" s="550">
        <v>183954.00000000003</v>
      </c>
      <c r="F233" s="550">
        <v>0</v>
      </c>
      <c r="G233" s="550"/>
      <c r="H233" s="550"/>
      <c r="I233" s="550"/>
      <c r="J233" s="550"/>
      <c r="K233" s="550">
        <v>183954.00000000003</v>
      </c>
      <c r="L233" s="550">
        <v>27593.100000000002</v>
      </c>
      <c r="M233" s="550">
        <v>211547.10000000003</v>
      </c>
      <c r="N233" s="551">
        <v>1345</v>
      </c>
    </row>
    <row r="234" spans="1:14" s="544" customFormat="1" ht="39.950000000000003" customHeight="1">
      <c r="A234" s="539" t="s">
        <v>128</v>
      </c>
      <c r="B234" s="545" t="s">
        <v>196</v>
      </c>
      <c r="C234" s="540">
        <v>0</v>
      </c>
      <c r="D234" s="540">
        <v>0</v>
      </c>
      <c r="E234" s="542">
        <v>52275.6</v>
      </c>
      <c r="F234" s="542">
        <v>0</v>
      </c>
      <c r="G234" s="542"/>
      <c r="H234" s="542"/>
      <c r="I234" s="542"/>
      <c r="J234" s="542"/>
      <c r="K234" s="542">
        <v>52275.6</v>
      </c>
      <c r="L234" s="542">
        <v>7841.3399999999992</v>
      </c>
      <c r="M234" s="542">
        <v>60116.939999999995</v>
      </c>
      <c r="N234" s="543">
        <v>1748.5</v>
      </c>
    </row>
    <row r="235" spans="1:14" s="534" customFormat="1" ht="30" customHeight="1">
      <c r="A235" s="578"/>
      <c r="B235" s="579" t="str">
        <f>NCong!B164</f>
        <v>GHI CHÚ</v>
      </c>
      <c r="C235" s="569"/>
      <c r="D235" s="569"/>
      <c r="E235" s="570"/>
      <c r="F235" s="570"/>
      <c r="G235" s="570"/>
      <c r="H235" s="586"/>
      <c r="I235" s="586"/>
      <c r="J235" s="586"/>
      <c r="K235" s="586">
        <f>SUM(E235:J235)</f>
        <v>0</v>
      </c>
      <c r="L235" s="586">
        <f>K235*15%</f>
        <v>0</v>
      </c>
      <c r="M235" s="586">
        <f>K235+L235</f>
        <v>0</v>
      </c>
      <c r="N235" s="571"/>
    </row>
    <row r="236" spans="1:14" ht="99.95" customHeight="1">
      <c r="A236" s="546" t="str">
        <f>NCong!A165</f>
        <v>1</v>
      </c>
      <c r="B236" s="1813" t="str">
        <f>NCong!B166</f>
        <v>Trường hợp nhiều thửa đất nông nghiệp lập chung trong 1 hồ sơ và cấp chung trong một GCN thì ngoài mức được tính ở trên, mỗi thửa đất tăng thêm được tính mức bằng 0,30 lần định mức quy định đối với Mục 2, 3, 4, 5, 6, 7, 10, 11, 12, 13, 15, 16, 17, 18, 19, 20, 21, 24, 25, 26, 27 và 30 các nội dung thực hiện tại địa bàn xã, phường,đặc khu; Mục 1, 2 các nội dung thực hiện tại cấp tỉnh của Bảng này</v>
      </c>
      <c r="C236" s="1813"/>
      <c r="D236" s="1813"/>
      <c r="E236" s="550"/>
      <c r="F236" s="550"/>
      <c r="G236" s="550"/>
      <c r="H236" s="547"/>
      <c r="I236" s="547"/>
      <c r="J236" s="547"/>
      <c r="K236" s="547">
        <f>SUM(E236:J236)</f>
        <v>0</v>
      </c>
      <c r="L236" s="547">
        <f>K236*15%</f>
        <v>0</v>
      </c>
      <c r="M236" s="547">
        <f>K236+L236</f>
        <v>0</v>
      </c>
      <c r="N236" s="551"/>
    </row>
    <row r="237" spans="1:14" ht="30" customHeight="1">
      <c r="A237" s="1842" t="str">
        <f>NCong!A166</f>
        <v>2</v>
      </c>
      <c r="B237" s="1813" t="str">
        <f>NCong!B166</f>
        <v>Trường hợp nhiều thửa đất nông nghiệp lập chung trong 1 hồ sơ và cấp chung trong một GCN thì ngoài mức được tính ở trên, mỗi thửa đất tăng thêm được tính mức bằng 0,30 lần định mức quy định đối với Mục 2, 3, 4, 5, 6, 7, 10, 11, 12, 13, 15, 16, 17, 18, 19, 20, 21, 24, 25, 26, 27 và 30 các nội dung thực hiện tại địa bàn xã, phường,đặc khu; Mục 1, 2 các nội dung thực hiện tại cấp tỉnh của Bảng này</v>
      </c>
      <c r="C237" s="1836" t="str">
        <f>C93</f>
        <v>Hồ sơ</v>
      </c>
      <c r="D237" s="548">
        <f>D98</f>
        <v>1</v>
      </c>
      <c r="E237" s="550">
        <v>356780.75475000002</v>
      </c>
      <c r="F237" s="550">
        <v>96600</v>
      </c>
      <c r="G237" s="550"/>
      <c r="H237" s="547"/>
      <c r="I237" s="547"/>
      <c r="J237" s="547"/>
      <c r="K237" s="547">
        <v>453380.75475000002</v>
      </c>
      <c r="L237" s="547">
        <v>68007.1132125</v>
      </c>
      <c r="M237" s="547">
        <v>521387.86796250002</v>
      </c>
      <c r="N237" s="551">
        <v>16291.312499999996</v>
      </c>
    </row>
    <row r="238" spans="1:14" ht="30" customHeight="1">
      <c r="A238" s="1842"/>
      <c r="B238" s="1813"/>
      <c r="C238" s="1836"/>
      <c r="D238" s="548" t="str">
        <f>D99</f>
        <v>2</v>
      </c>
      <c r="E238" s="550">
        <v>368770.73925000004</v>
      </c>
      <c r="F238" s="550">
        <v>106259.99999999999</v>
      </c>
      <c r="G238" s="550"/>
      <c r="H238" s="547"/>
      <c r="I238" s="547"/>
      <c r="J238" s="547"/>
      <c r="K238" s="547">
        <v>475030.73925000004</v>
      </c>
      <c r="L238" s="547">
        <v>71254.610887500006</v>
      </c>
      <c r="M238" s="547">
        <v>546285.35013750009</v>
      </c>
      <c r="N238" s="551">
        <v>16763.407500000001</v>
      </c>
    </row>
    <row r="239" spans="1:14" ht="30" customHeight="1">
      <c r="A239" s="1842"/>
      <c r="B239" s="1813"/>
      <c r="C239" s="1836"/>
      <c r="D239" s="548" t="str">
        <f>D100</f>
        <v>3</v>
      </c>
      <c r="E239" s="550">
        <v>381990.46575000003</v>
      </c>
      <c r="F239" s="550">
        <v>116875.38461538461</v>
      </c>
      <c r="G239" s="550"/>
      <c r="H239" s="547"/>
      <c r="I239" s="547"/>
      <c r="J239" s="547"/>
      <c r="K239" s="547">
        <v>498865.85036538466</v>
      </c>
      <c r="L239" s="547">
        <v>74829.877554807696</v>
      </c>
      <c r="M239" s="547">
        <v>573695.72792019229</v>
      </c>
      <c r="N239" s="551">
        <v>17283.922499999997</v>
      </c>
    </row>
    <row r="240" spans="1:14" ht="30" customHeight="1">
      <c r="A240" s="1842"/>
      <c r="B240" s="1813"/>
      <c r="C240" s="1836"/>
      <c r="D240" s="548" t="str">
        <f>D101</f>
        <v>4</v>
      </c>
      <c r="E240" s="550">
        <v>396439.93425000005</v>
      </c>
      <c r="F240" s="550">
        <v>128658.46153846153</v>
      </c>
      <c r="G240" s="550"/>
      <c r="H240" s="547"/>
      <c r="I240" s="547"/>
      <c r="J240" s="547"/>
      <c r="K240" s="547">
        <v>525098.39578846155</v>
      </c>
      <c r="L240" s="547">
        <v>78764.759368269224</v>
      </c>
      <c r="M240" s="547">
        <v>603863.15515673079</v>
      </c>
      <c r="N240" s="551">
        <v>17852.857499999998</v>
      </c>
    </row>
    <row r="241" spans="1:14" ht="30" customHeight="1">
      <c r="A241" s="1842"/>
      <c r="B241" s="1813"/>
      <c r="C241" s="1836"/>
      <c r="D241" s="548" t="str">
        <f>D102</f>
        <v>5</v>
      </c>
      <c r="E241" s="550">
        <v>411709.23074999999</v>
      </c>
      <c r="F241" s="550">
        <v>141503.07692307694</v>
      </c>
      <c r="G241" s="550"/>
      <c r="H241" s="547"/>
      <c r="I241" s="547"/>
      <c r="J241" s="547"/>
      <c r="K241" s="547">
        <v>553212.30767307687</v>
      </c>
      <c r="L241" s="547">
        <v>82981.84615096153</v>
      </c>
      <c r="M241" s="547">
        <v>636194.15382403834</v>
      </c>
      <c r="N241" s="551">
        <v>18454.072500000002</v>
      </c>
    </row>
    <row r="242" spans="1:14" ht="30" customHeight="1">
      <c r="A242" s="1842" t="str">
        <f>NCong!A167</f>
        <v>3</v>
      </c>
      <c r="B242" s="1813" t="str">
        <f>NCong!B167</f>
        <v>Đối với các hồ sơ không có nhu cầu hoặc không đủ điều kiện cấp GCN thì được tính định mức đối với Mục 1, 2, 3, 4, 5, 6, 7, 10, 11, 13, 16 và 17 các nội dung thực hiện tại địa bàn xã, phường,đặc khu; Mục 1, 2, 3 các nội dung thực hiện tại địa bàn cấp tỉnh của Bảng 7.</v>
      </c>
      <c r="C242" s="1836" t="str">
        <f t="shared" ref="C242:D246" si="40">C93</f>
        <v>Hồ sơ</v>
      </c>
      <c r="D242" s="548">
        <f t="shared" si="40"/>
        <v>1</v>
      </c>
      <c r="E242" s="550">
        <v>1084717.9825000002</v>
      </c>
      <c r="F242" s="550">
        <v>96600</v>
      </c>
      <c r="G242" s="550"/>
      <c r="H242" s="547"/>
      <c r="I242" s="547"/>
      <c r="J242" s="547"/>
      <c r="K242" s="547">
        <v>1181317.9825000002</v>
      </c>
      <c r="L242" s="547">
        <v>177197.69737500002</v>
      </c>
      <c r="M242" s="547">
        <v>1358515.6798750001</v>
      </c>
      <c r="N242" s="551">
        <v>50807.374999999993</v>
      </c>
    </row>
    <row r="243" spans="1:14" ht="30" customHeight="1">
      <c r="A243" s="1842"/>
      <c r="B243" s="1813"/>
      <c r="C243" s="1836">
        <f t="shared" si="40"/>
        <v>0</v>
      </c>
      <c r="D243" s="548" t="str">
        <f t="shared" si="40"/>
        <v>2</v>
      </c>
      <c r="E243" s="550">
        <v>1124684.5975000001</v>
      </c>
      <c r="F243" s="550">
        <v>106259.99999999999</v>
      </c>
      <c r="G243" s="550"/>
      <c r="H243" s="547"/>
      <c r="I243" s="547"/>
      <c r="J243" s="547"/>
      <c r="K243" s="547">
        <v>1230944.5975000001</v>
      </c>
      <c r="L243" s="547">
        <v>184641.68962500003</v>
      </c>
      <c r="M243" s="547">
        <v>1415586.2871250003</v>
      </c>
      <c r="N243" s="551">
        <v>52381.025000000001</v>
      </c>
    </row>
    <row r="244" spans="1:14" ht="30" customHeight="1">
      <c r="A244" s="1842"/>
      <c r="B244" s="1813"/>
      <c r="C244" s="1836">
        <f t="shared" si="40"/>
        <v>0</v>
      </c>
      <c r="D244" s="548" t="str">
        <f t="shared" si="40"/>
        <v>3</v>
      </c>
      <c r="E244" s="550">
        <v>1168750.3525000003</v>
      </c>
      <c r="F244" s="550">
        <v>116875.38461538461</v>
      </c>
      <c r="G244" s="550"/>
      <c r="H244" s="547"/>
      <c r="I244" s="547"/>
      <c r="J244" s="547"/>
      <c r="K244" s="547">
        <v>1285625.7371153848</v>
      </c>
      <c r="L244" s="547">
        <v>192843.86056730771</v>
      </c>
      <c r="M244" s="547">
        <v>1478469.5976826926</v>
      </c>
      <c r="N244" s="551">
        <v>54116.07499999999</v>
      </c>
    </row>
    <row r="245" spans="1:14" ht="30" customHeight="1">
      <c r="A245" s="1842"/>
      <c r="B245" s="1813"/>
      <c r="C245" s="1836">
        <f t="shared" si="40"/>
        <v>0</v>
      </c>
      <c r="D245" s="548" t="str">
        <f t="shared" si="40"/>
        <v>4</v>
      </c>
      <c r="E245" s="550">
        <v>1216915.2475000003</v>
      </c>
      <c r="F245" s="550">
        <v>128658.46153846153</v>
      </c>
      <c r="G245" s="550"/>
      <c r="H245" s="547"/>
      <c r="I245" s="547"/>
      <c r="J245" s="547"/>
      <c r="K245" s="547">
        <v>1345573.7090384618</v>
      </c>
      <c r="L245" s="547">
        <v>201836.05635576925</v>
      </c>
      <c r="M245" s="547">
        <v>1547409.7653942311</v>
      </c>
      <c r="N245" s="551">
        <v>56012.525000000001</v>
      </c>
    </row>
    <row r="246" spans="1:14" ht="30" customHeight="1">
      <c r="A246" s="1842"/>
      <c r="B246" s="1813"/>
      <c r="C246" s="1836">
        <f t="shared" si="40"/>
        <v>0</v>
      </c>
      <c r="D246" s="548" t="str">
        <f t="shared" si="40"/>
        <v>5</v>
      </c>
      <c r="E246" s="550">
        <v>1267812.9025000001</v>
      </c>
      <c r="F246" s="550">
        <v>141503.07692307694</v>
      </c>
      <c r="G246" s="550"/>
      <c r="H246" s="547"/>
      <c r="I246" s="547"/>
      <c r="J246" s="547"/>
      <c r="K246" s="547">
        <v>1409315.9794230771</v>
      </c>
      <c r="L246" s="547">
        <v>211397.39691346156</v>
      </c>
      <c r="M246" s="547">
        <v>1620713.3763365387</v>
      </c>
      <c r="N246" s="551">
        <v>58016.575000000004</v>
      </c>
    </row>
    <row r="247" spans="1:14" ht="30" customHeight="1">
      <c r="A247" s="1842" t="e">
        <f>NCong!#REF!</f>
        <v>#REF!</v>
      </c>
      <c r="B247" s="1813" t="e">
        <f>NCong!#REF!</f>
        <v>#REF!</v>
      </c>
      <c r="C247" s="1836" t="str">
        <f t="shared" ref="C247:D251" si="41">C93</f>
        <v>Hồ sơ</v>
      </c>
      <c r="D247" s="548">
        <f t="shared" si="41"/>
        <v>1</v>
      </c>
      <c r="E247" s="550">
        <v>1318657.068</v>
      </c>
      <c r="F247" s="550">
        <v>86940</v>
      </c>
      <c r="G247" s="550"/>
      <c r="H247" s="547"/>
      <c r="I247" s="547"/>
      <c r="J247" s="547"/>
      <c r="K247" s="547">
        <v>1405597.068</v>
      </c>
      <c r="L247" s="547">
        <v>210839.56019999998</v>
      </c>
      <c r="M247" s="547">
        <v>1616436.6281999999</v>
      </c>
      <c r="N247" s="551">
        <v>58140.314999999995</v>
      </c>
    </row>
    <row r="248" spans="1:14" ht="30" customHeight="1">
      <c r="A248" s="1842"/>
      <c r="B248" s="1813"/>
      <c r="C248" s="1836">
        <f t="shared" si="41"/>
        <v>0</v>
      </c>
      <c r="D248" s="548" t="str">
        <f t="shared" si="41"/>
        <v>2</v>
      </c>
      <c r="E248" s="550">
        <v>1354627.0215</v>
      </c>
      <c r="F248" s="550">
        <v>95633.999999999985</v>
      </c>
      <c r="G248" s="550"/>
      <c r="H248" s="547"/>
      <c r="I248" s="547"/>
      <c r="J248" s="547"/>
      <c r="K248" s="547">
        <v>1450261.0215</v>
      </c>
      <c r="L248" s="547">
        <v>217539.15322499999</v>
      </c>
      <c r="M248" s="547">
        <v>1667800.174725</v>
      </c>
      <c r="N248" s="551">
        <v>59556.6</v>
      </c>
    </row>
    <row r="249" spans="1:14" ht="30" customHeight="1">
      <c r="A249" s="1842"/>
      <c r="B249" s="1813"/>
      <c r="C249" s="1836">
        <f t="shared" si="41"/>
        <v>0</v>
      </c>
      <c r="D249" s="548" t="str">
        <f t="shared" si="41"/>
        <v>3</v>
      </c>
      <c r="E249" s="550">
        <v>1394286.2010000001</v>
      </c>
      <c r="F249" s="550">
        <v>105187.84615384616</v>
      </c>
      <c r="G249" s="550"/>
      <c r="H249" s="547"/>
      <c r="I249" s="547"/>
      <c r="J249" s="547"/>
      <c r="K249" s="547">
        <v>1499474.0471538464</v>
      </c>
      <c r="L249" s="547">
        <v>224921.10707307694</v>
      </c>
      <c r="M249" s="547">
        <v>1724395.1542269234</v>
      </c>
      <c r="N249" s="551">
        <v>61118.14499999999</v>
      </c>
    </row>
    <row r="250" spans="1:14" ht="30" customHeight="1">
      <c r="A250" s="1842"/>
      <c r="B250" s="1813"/>
      <c r="C250" s="1836">
        <f t="shared" si="41"/>
        <v>0</v>
      </c>
      <c r="D250" s="548" t="str">
        <f t="shared" si="41"/>
        <v>4</v>
      </c>
      <c r="E250" s="550">
        <v>1437634.6065000002</v>
      </c>
      <c r="F250" s="550">
        <v>115792.61538461538</v>
      </c>
      <c r="G250" s="550"/>
      <c r="H250" s="547"/>
      <c r="I250" s="547"/>
      <c r="J250" s="547"/>
      <c r="K250" s="547">
        <v>1553427.2218846157</v>
      </c>
      <c r="L250" s="547">
        <v>233014.08328269236</v>
      </c>
      <c r="M250" s="547">
        <v>1786441.3051673081</v>
      </c>
      <c r="N250" s="551">
        <v>62824.950000000004</v>
      </c>
    </row>
    <row r="251" spans="1:14" ht="35.1" customHeight="1">
      <c r="A251" s="1842"/>
      <c r="B251" s="1813"/>
      <c r="C251" s="1836">
        <f t="shared" si="41"/>
        <v>0</v>
      </c>
      <c r="D251" s="548" t="str">
        <f t="shared" si="41"/>
        <v>5</v>
      </c>
      <c r="E251" s="550">
        <v>1483442.496</v>
      </c>
      <c r="F251" s="550">
        <v>127352.76923076925</v>
      </c>
      <c r="G251" s="550"/>
      <c r="H251" s="547"/>
      <c r="I251" s="547"/>
      <c r="J251" s="547"/>
      <c r="K251" s="547">
        <v>1610795.2652307693</v>
      </c>
      <c r="L251" s="547">
        <v>241619.28978461539</v>
      </c>
      <c r="M251" s="547">
        <v>1852414.5550153847</v>
      </c>
      <c r="N251" s="551">
        <v>64628.595000000001</v>
      </c>
    </row>
    <row r="252" spans="1:14" ht="30" customHeight="1">
      <c r="A252" s="1842" t="str">
        <f>NCong!A168</f>
        <v>4</v>
      </c>
      <c r="B252" s="1813" t="str">
        <f>NCong!B168</f>
        <v>Trường hợp người sử dụng đất đã đăng ký đất đai theo quy định của pháp luật mà có nhu cầu và đủ điều kiện cấp GCN thì được tính định mức đối với Mục 2, 7, 12, 18, 19, 20, 21, 24, 25, 26, 27 và 30 các nội dung thực hiện tại địa bàn xã, phường,đặc khu; Mục 1, 2, 3 các nội dung thực hiện tại địa bàn cấp tỉnh của Bảng này</v>
      </c>
      <c r="C252" s="1836" t="str">
        <f t="shared" ref="C252:D256" si="42">C93</f>
        <v>Hồ sơ</v>
      </c>
      <c r="D252" s="548">
        <f t="shared" si="42"/>
        <v>1</v>
      </c>
      <c r="E252" s="550">
        <v>791542.53500000015</v>
      </c>
      <c r="F252" s="550"/>
      <c r="G252" s="550"/>
      <c r="H252" s="547"/>
      <c r="I252" s="547"/>
      <c r="J252" s="547"/>
      <c r="K252" s="547">
        <v>791542.53500000015</v>
      </c>
      <c r="L252" s="547">
        <v>118731.38025000002</v>
      </c>
      <c r="M252" s="547">
        <v>910273.91525000019</v>
      </c>
      <c r="N252" s="551">
        <v>39596.799999999988</v>
      </c>
    </row>
    <row r="253" spans="1:14" ht="30" customHeight="1">
      <c r="A253" s="1842"/>
      <c r="B253" s="1813"/>
      <c r="C253" s="1836">
        <f t="shared" si="42"/>
        <v>0</v>
      </c>
      <c r="D253" s="548" t="str">
        <f t="shared" si="42"/>
        <v>2</v>
      </c>
      <c r="E253" s="550">
        <v>791542.53500000015</v>
      </c>
      <c r="F253" s="550"/>
      <c r="G253" s="550"/>
      <c r="H253" s="547"/>
      <c r="I253" s="547"/>
      <c r="J253" s="547"/>
      <c r="K253" s="547">
        <v>791542.53500000015</v>
      </c>
      <c r="L253" s="547">
        <v>118731.38025000002</v>
      </c>
      <c r="M253" s="547">
        <v>910273.91525000019</v>
      </c>
      <c r="N253" s="551">
        <v>39596.800000000003</v>
      </c>
    </row>
    <row r="254" spans="1:14" ht="30" customHeight="1">
      <c r="A254" s="1842"/>
      <c r="B254" s="1813"/>
      <c r="C254" s="1836">
        <f t="shared" si="42"/>
        <v>0</v>
      </c>
      <c r="D254" s="548" t="str">
        <f t="shared" si="42"/>
        <v>3</v>
      </c>
      <c r="E254" s="550">
        <v>791542.53500000015</v>
      </c>
      <c r="F254" s="550"/>
      <c r="G254" s="550"/>
      <c r="H254" s="547"/>
      <c r="I254" s="547"/>
      <c r="J254" s="547"/>
      <c r="K254" s="547">
        <v>791542.53500000015</v>
      </c>
      <c r="L254" s="547">
        <v>118731.38025000002</v>
      </c>
      <c r="M254" s="547">
        <v>910273.91525000019</v>
      </c>
      <c r="N254" s="551">
        <v>39596.799999999988</v>
      </c>
    </row>
    <row r="255" spans="1:14" ht="30" customHeight="1">
      <c r="A255" s="1842"/>
      <c r="B255" s="1813"/>
      <c r="C255" s="1836">
        <f t="shared" si="42"/>
        <v>0</v>
      </c>
      <c r="D255" s="548" t="str">
        <f t="shared" si="42"/>
        <v>4</v>
      </c>
      <c r="E255" s="550">
        <v>791542.53500000015</v>
      </c>
      <c r="F255" s="550"/>
      <c r="G255" s="550"/>
      <c r="H255" s="547"/>
      <c r="I255" s="547"/>
      <c r="J255" s="547"/>
      <c r="K255" s="547">
        <v>791542.53500000015</v>
      </c>
      <c r="L255" s="547">
        <v>118731.38025000002</v>
      </c>
      <c r="M255" s="547">
        <v>910273.91525000019</v>
      </c>
      <c r="N255" s="551">
        <v>39596.800000000003</v>
      </c>
    </row>
    <row r="256" spans="1:14" ht="30" customHeight="1">
      <c r="A256" s="1842"/>
      <c r="B256" s="1813"/>
      <c r="C256" s="1836">
        <f t="shared" si="42"/>
        <v>0</v>
      </c>
      <c r="D256" s="548" t="str">
        <f t="shared" si="42"/>
        <v>5</v>
      </c>
      <c r="E256" s="550">
        <v>791542.53500000015</v>
      </c>
      <c r="F256" s="550"/>
      <c r="G256" s="550"/>
      <c r="H256" s="547"/>
      <c r="I256" s="547"/>
      <c r="J256" s="547"/>
      <c r="K256" s="547">
        <v>791542.53500000015</v>
      </c>
      <c r="L256" s="547">
        <v>118731.38025000002</v>
      </c>
      <c r="M256" s="547">
        <v>910273.91525000019</v>
      </c>
      <c r="N256" s="551">
        <v>39596.800000000003</v>
      </c>
    </row>
    <row r="257" spans="1:14" ht="28.5" customHeight="1">
      <c r="A257" s="587" t="str">
        <f>NCong!A173</f>
        <v>III</v>
      </c>
      <c r="B257" s="1831" t="str">
        <f>NCong!B173</f>
        <v>Định mức lao động đăng ký, cấp Giấy chứng nhận lần đầu đối với tổ chức (trừ trường hợp thuộc thẩm quyền quyết định của UBND xã, phường), tổ chức tôn giáo, tổ chức tôn giáo trực thuộc đang sử dụng đất</v>
      </c>
      <c r="C257" s="1831"/>
      <c r="D257" s="1831"/>
      <c r="E257" s="1831"/>
      <c r="F257" s="1831"/>
      <c r="G257" s="1831"/>
      <c r="H257" s="1831"/>
      <c r="I257" s="1831"/>
      <c r="J257" s="1831"/>
      <c r="K257" s="1831"/>
      <c r="L257" s="1831"/>
      <c r="M257" s="1831"/>
      <c r="N257" s="1841"/>
    </row>
    <row r="258" spans="1:14" ht="30" customHeight="1">
      <c r="A258" s="587"/>
      <c r="B258" s="1837" t="s">
        <v>516</v>
      </c>
      <c r="C258" s="1837"/>
      <c r="D258" s="1837"/>
      <c r="E258" s="1837"/>
      <c r="F258" s="1837"/>
      <c r="G258" s="1837"/>
      <c r="H258" s="1837"/>
      <c r="I258" s="1837"/>
      <c r="J258" s="1837"/>
      <c r="K258" s="1837"/>
      <c r="L258" s="1837"/>
      <c r="M258" s="1837"/>
      <c r="N258" s="1838"/>
    </row>
    <row r="259" spans="1:14" s="534" customFormat="1" ht="30" customHeight="1">
      <c r="A259" s="587"/>
      <c r="B259" s="588"/>
      <c r="C259" s="1832" t="s">
        <v>53</v>
      </c>
      <c r="D259" s="585">
        <v>1</v>
      </c>
      <c r="E259" s="537" t="e">
        <f t="shared" ref="E259:J263" si="43">E264+E$272+E$273</f>
        <v>#REF!</v>
      </c>
      <c r="F259" s="537">
        <f t="shared" si="43"/>
        <v>0</v>
      </c>
      <c r="G259" s="537">
        <f t="shared" si="43"/>
        <v>19125.857293538462</v>
      </c>
      <c r="H259" s="537">
        <f t="shared" si="43"/>
        <v>22028</v>
      </c>
      <c r="I259" s="537">
        <f t="shared" si="43"/>
        <v>23841.524799999999</v>
      </c>
      <c r="J259" s="537">
        <f t="shared" si="43"/>
        <v>39615.873297000006</v>
      </c>
      <c r="K259" s="537" t="e">
        <f>SUM(E259:J259)</f>
        <v>#REF!</v>
      </c>
      <c r="L259" s="537" t="e">
        <f>K259*15%</f>
        <v>#REF!</v>
      </c>
      <c r="M259" s="537" t="e">
        <f>K259+L259</f>
        <v>#REF!</v>
      </c>
      <c r="N259" s="538" t="e">
        <f>N264+N$272+N$273</f>
        <v>#REF!</v>
      </c>
    </row>
    <row r="260" spans="1:14" s="534" customFormat="1" ht="30" customHeight="1">
      <c r="A260" s="587"/>
      <c r="B260" s="588"/>
      <c r="C260" s="1832"/>
      <c r="D260" s="585" t="s">
        <v>34</v>
      </c>
      <c r="E260" s="537" t="e">
        <f t="shared" si="43"/>
        <v>#REF!</v>
      </c>
      <c r="F260" s="537">
        <f t="shared" si="43"/>
        <v>0</v>
      </c>
      <c r="G260" s="537">
        <f t="shared" si="43"/>
        <v>19125.857293538462</v>
      </c>
      <c r="H260" s="537">
        <f t="shared" si="43"/>
        <v>22028</v>
      </c>
      <c r="I260" s="537">
        <f t="shared" si="43"/>
        <v>23841.524799999999</v>
      </c>
      <c r="J260" s="537">
        <f t="shared" si="43"/>
        <v>39615.873297000006</v>
      </c>
      <c r="K260" s="537" t="e">
        <f>SUM(E260:J260)</f>
        <v>#REF!</v>
      </c>
      <c r="L260" s="537" t="e">
        <f t="shared" ref="L260:L284" si="44">K260*15%</f>
        <v>#REF!</v>
      </c>
      <c r="M260" s="537" t="e">
        <f t="shared" ref="M260:M284" si="45">K260+L260</f>
        <v>#REF!</v>
      </c>
      <c r="N260" s="538" t="e">
        <f>N265+N$272+N$273</f>
        <v>#REF!</v>
      </c>
    </row>
    <row r="261" spans="1:14" s="534" customFormat="1" ht="30" customHeight="1">
      <c r="A261" s="587"/>
      <c r="B261" s="588"/>
      <c r="C261" s="1832"/>
      <c r="D261" s="585" t="s">
        <v>35</v>
      </c>
      <c r="E261" s="537" t="e">
        <f t="shared" si="43"/>
        <v>#REF!</v>
      </c>
      <c r="F261" s="537">
        <f t="shared" si="43"/>
        <v>0</v>
      </c>
      <c r="G261" s="537">
        <f t="shared" si="43"/>
        <v>19125.857293538462</v>
      </c>
      <c r="H261" s="537">
        <f t="shared" si="43"/>
        <v>22028</v>
      </c>
      <c r="I261" s="537">
        <f t="shared" si="43"/>
        <v>23841.524799999999</v>
      </c>
      <c r="J261" s="537">
        <f t="shared" si="43"/>
        <v>39615.873297000006</v>
      </c>
      <c r="K261" s="537" t="e">
        <f>SUM(E261:J261)</f>
        <v>#REF!</v>
      </c>
      <c r="L261" s="537" t="e">
        <f t="shared" si="44"/>
        <v>#REF!</v>
      </c>
      <c r="M261" s="537" t="e">
        <f t="shared" si="45"/>
        <v>#REF!</v>
      </c>
      <c r="N261" s="538" t="e">
        <f>N266+N$272+N$273</f>
        <v>#REF!</v>
      </c>
    </row>
    <row r="262" spans="1:14" s="534" customFormat="1" ht="30" customHeight="1">
      <c r="A262" s="587"/>
      <c r="B262" s="588"/>
      <c r="C262" s="1832"/>
      <c r="D262" s="585" t="s">
        <v>158</v>
      </c>
      <c r="E262" s="537" t="e">
        <f t="shared" si="43"/>
        <v>#REF!</v>
      </c>
      <c r="F262" s="537">
        <f t="shared" si="43"/>
        <v>0</v>
      </c>
      <c r="G262" s="537">
        <f t="shared" si="43"/>
        <v>19125.857293538462</v>
      </c>
      <c r="H262" s="537">
        <f t="shared" si="43"/>
        <v>22028</v>
      </c>
      <c r="I262" s="537">
        <f t="shared" si="43"/>
        <v>23841.524799999999</v>
      </c>
      <c r="J262" s="537">
        <f t="shared" si="43"/>
        <v>39615.873297000006</v>
      </c>
      <c r="K262" s="537" t="e">
        <f>SUM(E262:J262)</f>
        <v>#REF!</v>
      </c>
      <c r="L262" s="537" t="e">
        <f t="shared" si="44"/>
        <v>#REF!</v>
      </c>
      <c r="M262" s="537" t="e">
        <f t="shared" si="45"/>
        <v>#REF!</v>
      </c>
      <c r="N262" s="538" t="e">
        <f>N267+N$272+N$273</f>
        <v>#REF!</v>
      </c>
    </row>
    <row r="263" spans="1:14" s="534" customFormat="1" ht="30" customHeight="1">
      <c r="A263" s="587"/>
      <c r="B263" s="588"/>
      <c r="C263" s="1832"/>
      <c r="D263" s="585" t="s">
        <v>159</v>
      </c>
      <c r="E263" s="537" t="e">
        <f t="shared" si="43"/>
        <v>#REF!</v>
      </c>
      <c r="F263" s="537">
        <f t="shared" si="43"/>
        <v>0</v>
      </c>
      <c r="G263" s="537">
        <f t="shared" si="43"/>
        <v>19125.857293538462</v>
      </c>
      <c r="H263" s="537">
        <f t="shared" si="43"/>
        <v>22028</v>
      </c>
      <c r="I263" s="537">
        <f t="shared" si="43"/>
        <v>23841.524799999999</v>
      </c>
      <c r="J263" s="537">
        <f t="shared" si="43"/>
        <v>39615.873297000006</v>
      </c>
      <c r="K263" s="537" t="e">
        <f>SUM(E263:J263)</f>
        <v>#REF!</v>
      </c>
      <c r="L263" s="537" t="e">
        <f t="shared" si="44"/>
        <v>#REF!</v>
      </c>
      <c r="M263" s="537" t="e">
        <f t="shared" si="45"/>
        <v>#REF!</v>
      </c>
      <c r="N263" s="538" t="e">
        <f>N268+N$272+N$273</f>
        <v>#REF!</v>
      </c>
    </row>
    <row r="264" spans="1:14" s="544" customFormat="1" ht="30" customHeight="1">
      <c r="A264" s="1833" t="str">
        <f>NCong!A174</f>
        <v>III.1</v>
      </c>
      <c r="B264" s="1834" t="str">
        <f>NCong!B174</f>
        <v>CÁC NỘI DUNG THỰC HIỆN TẠI ĐỊA BÀN XÃ, PHƯỜNG</v>
      </c>
      <c r="C264" s="1835" t="s">
        <v>53</v>
      </c>
      <c r="D264" s="540">
        <f>NCong!F174</f>
        <v>1</v>
      </c>
      <c r="E264" s="542" t="e">
        <f>NCong!K174-E$270</f>
        <v>#REF!</v>
      </c>
      <c r="F264" s="542"/>
      <c r="G264" s="542">
        <f>Dcu!L$101</f>
        <v>15128.12688647436</v>
      </c>
      <c r="H264" s="542">
        <f>VLieu!J$68</f>
        <v>21051</v>
      </c>
      <c r="I264" s="542">
        <f>Tbi!I$59</f>
        <v>23841.524799999999</v>
      </c>
      <c r="J264" s="542">
        <f>Tbi!I$66+Dcu!L$100</f>
        <v>38427.881992500006</v>
      </c>
      <c r="K264" s="542" t="e">
        <f t="shared" ref="K264:K284" si="46">SUM(E264:J264)</f>
        <v>#REF!</v>
      </c>
      <c r="L264" s="542" t="e">
        <f t="shared" si="44"/>
        <v>#REF!</v>
      </c>
      <c r="M264" s="542" t="e">
        <f t="shared" si="45"/>
        <v>#REF!</v>
      </c>
      <c r="N264" s="543" t="e">
        <f>NCong!N174-N$270</f>
        <v>#REF!</v>
      </c>
    </row>
    <row r="265" spans="1:14" s="544" customFormat="1" ht="30" customHeight="1">
      <c r="A265" s="1833"/>
      <c r="B265" s="1834"/>
      <c r="C265" s="1835"/>
      <c r="D265" s="540">
        <f>NCong!F176</f>
        <v>2</v>
      </c>
      <c r="E265" s="542" t="e">
        <f>NCong!K176-E$270</f>
        <v>#REF!</v>
      </c>
      <c r="F265" s="542"/>
      <c r="G265" s="542">
        <f>Dcu!L$101</f>
        <v>15128.12688647436</v>
      </c>
      <c r="H265" s="542">
        <f>VLieu!J$68</f>
        <v>21051</v>
      </c>
      <c r="I265" s="542">
        <f>Tbi!I$59</f>
        <v>23841.524799999999</v>
      </c>
      <c r="J265" s="542">
        <f>Tbi!I$66+Dcu!L$100</f>
        <v>38427.881992500006</v>
      </c>
      <c r="K265" s="542" t="e">
        <f t="shared" si="46"/>
        <v>#REF!</v>
      </c>
      <c r="L265" s="542" t="e">
        <f t="shared" si="44"/>
        <v>#REF!</v>
      </c>
      <c r="M265" s="542" t="e">
        <f t="shared" si="45"/>
        <v>#REF!</v>
      </c>
      <c r="N265" s="543" t="e">
        <f>NCong!N176-N$270</f>
        <v>#REF!</v>
      </c>
    </row>
    <row r="266" spans="1:14" s="544" customFormat="1" ht="30" customHeight="1">
      <c r="A266" s="1833"/>
      <c r="B266" s="1834"/>
      <c r="C266" s="1835"/>
      <c r="D266" s="540">
        <f>NCong!F178</f>
        <v>3</v>
      </c>
      <c r="E266" s="542" t="e">
        <f>NCong!K178-E$270</f>
        <v>#REF!</v>
      </c>
      <c r="F266" s="542"/>
      <c r="G266" s="542">
        <f>Dcu!L$101</f>
        <v>15128.12688647436</v>
      </c>
      <c r="H266" s="542">
        <f>VLieu!J$68</f>
        <v>21051</v>
      </c>
      <c r="I266" s="542">
        <f>Tbi!I$59</f>
        <v>23841.524799999999</v>
      </c>
      <c r="J266" s="542">
        <f>Tbi!I$66+Dcu!L$100</f>
        <v>38427.881992500006</v>
      </c>
      <c r="K266" s="542" t="e">
        <f t="shared" si="46"/>
        <v>#REF!</v>
      </c>
      <c r="L266" s="542" t="e">
        <f t="shared" si="44"/>
        <v>#REF!</v>
      </c>
      <c r="M266" s="542" t="e">
        <f t="shared" si="45"/>
        <v>#REF!</v>
      </c>
      <c r="N266" s="543" t="e">
        <f>NCong!N178-N$270</f>
        <v>#REF!</v>
      </c>
    </row>
    <row r="267" spans="1:14" s="544" customFormat="1" ht="30" customHeight="1">
      <c r="A267" s="1833"/>
      <c r="B267" s="1834"/>
      <c r="C267" s="1835"/>
      <c r="D267" s="540" t="e">
        <f>NCong!#REF!</f>
        <v>#REF!</v>
      </c>
      <c r="E267" s="542" t="e">
        <f>NCong!#REF!-E$270</f>
        <v>#REF!</v>
      </c>
      <c r="F267" s="542"/>
      <c r="G267" s="542">
        <f>Dcu!L$101</f>
        <v>15128.12688647436</v>
      </c>
      <c r="H267" s="542">
        <f>VLieu!J$68</f>
        <v>21051</v>
      </c>
      <c r="I267" s="542">
        <f>Tbi!I$59</f>
        <v>23841.524799999999</v>
      </c>
      <c r="J267" s="542">
        <f>Tbi!I$66+Dcu!L$100</f>
        <v>38427.881992500006</v>
      </c>
      <c r="K267" s="542" t="e">
        <f t="shared" si="46"/>
        <v>#REF!</v>
      </c>
      <c r="L267" s="542" t="e">
        <f t="shared" si="44"/>
        <v>#REF!</v>
      </c>
      <c r="M267" s="542" t="e">
        <f t="shared" si="45"/>
        <v>#REF!</v>
      </c>
      <c r="N267" s="543" t="e">
        <f>NCong!#REF!-N$270</f>
        <v>#REF!</v>
      </c>
    </row>
    <row r="268" spans="1:14" s="544" customFormat="1" ht="30" customHeight="1">
      <c r="A268" s="1833"/>
      <c r="B268" s="1834"/>
      <c r="C268" s="1835"/>
      <c r="D268" s="540" t="e">
        <f>NCong!#REF!</f>
        <v>#REF!</v>
      </c>
      <c r="E268" s="542" t="e">
        <f>NCong!#REF!-E$270</f>
        <v>#REF!</v>
      </c>
      <c r="F268" s="542"/>
      <c r="G268" s="542">
        <f>Dcu!L$101</f>
        <v>15128.12688647436</v>
      </c>
      <c r="H268" s="542">
        <f>VLieu!J$68</f>
        <v>21051</v>
      </c>
      <c r="I268" s="542">
        <f>Tbi!I$59</f>
        <v>23841.524799999999</v>
      </c>
      <c r="J268" s="542">
        <f>Tbi!I$66+Dcu!L$100</f>
        <v>38427.881992500006</v>
      </c>
      <c r="K268" s="542" t="e">
        <f t="shared" si="46"/>
        <v>#REF!</v>
      </c>
      <c r="L268" s="542" t="e">
        <f t="shared" si="44"/>
        <v>#REF!</v>
      </c>
      <c r="M268" s="542" t="e">
        <f t="shared" si="45"/>
        <v>#REF!</v>
      </c>
      <c r="N268" s="543" t="e">
        <f>NCong!#REF!-N$270</f>
        <v>#REF!</v>
      </c>
    </row>
    <row r="269" spans="1:14" ht="80.099999999999994" customHeight="1">
      <c r="A269" s="546" t="e">
        <f>NCong!#REF!</f>
        <v>#REF!</v>
      </c>
      <c r="B269" s="559" t="e">
        <f>NCong!#REF!</f>
        <v>#REF!</v>
      </c>
      <c r="C269" s="548" t="e">
        <f>NCong!#REF!</f>
        <v>#REF!</v>
      </c>
      <c r="D269" s="548" t="e">
        <f>NCong!#REF!</f>
        <v>#REF!</v>
      </c>
      <c r="E269" s="550" t="e">
        <f>NCong!#REF!</f>
        <v>#REF!</v>
      </c>
      <c r="F269" s="550"/>
      <c r="G269" s="550"/>
      <c r="H269" s="550"/>
      <c r="I269" s="550"/>
      <c r="J269" s="550"/>
      <c r="K269" s="550" t="e">
        <f t="shared" si="46"/>
        <v>#REF!</v>
      </c>
      <c r="L269" s="550" t="e">
        <f t="shared" si="44"/>
        <v>#REF!</v>
      </c>
      <c r="M269" s="550" t="e">
        <f t="shared" si="45"/>
        <v>#REF!</v>
      </c>
      <c r="N269" s="551" t="e">
        <f>NCong!#REF!</f>
        <v>#REF!</v>
      </c>
    </row>
    <row r="270" spans="1:14" s="558" customFormat="1" ht="30" customHeight="1">
      <c r="A270" s="553" t="e">
        <f>NCong!#REF!</f>
        <v>#REF!</v>
      </c>
      <c r="B270" s="574" t="e">
        <f>NCong!#REF!</f>
        <v>#REF!</v>
      </c>
      <c r="C270" s="555" t="e">
        <f>NCong!#REF!</f>
        <v>#REF!</v>
      </c>
      <c r="D270" s="555" t="e">
        <f>NCong!#REF!</f>
        <v>#REF!</v>
      </c>
      <c r="E270" s="556" t="e">
        <f>NCong!#REF!</f>
        <v>#REF!</v>
      </c>
      <c r="F270" s="556"/>
      <c r="G270" s="556"/>
      <c r="H270" s="556"/>
      <c r="I270" s="556"/>
      <c r="J270" s="556"/>
      <c r="K270" s="556" t="e">
        <f t="shared" si="46"/>
        <v>#REF!</v>
      </c>
      <c r="L270" s="556" t="e">
        <f t="shared" si="44"/>
        <v>#REF!</v>
      </c>
      <c r="M270" s="556" t="e">
        <f t="shared" si="45"/>
        <v>#REF!</v>
      </c>
      <c r="N270" s="557" t="e">
        <f>NCong!#REF!</f>
        <v>#REF!</v>
      </c>
    </row>
    <row r="271" spans="1:14" s="558" customFormat="1" ht="30" customHeight="1">
      <c r="A271" s="553" t="e">
        <f>NCong!#REF!</f>
        <v>#REF!</v>
      </c>
      <c r="B271" s="574" t="e">
        <f>NCong!#REF!</f>
        <v>#REF!</v>
      </c>
      <c r="C271" s="555" t="e">
        <f>NCong!#REF!</f>
        <v>#REF!</v>
      </c>
      <c r="D271" s="555" t="e">
        <f>NCong!#REF!</f>
        <v>#REF!</v>
      </c>
      <c r="E271" s="556" t="e">
        <f>NCong!#REF!</f>
        <v>#REF!</v>
      </c>
      <c r="F271" s="556"/>
      <c r="G271" s="556"/>
      <c r="H271" s="556"/>
      <c r="I271" s="556"/>
      <c r="J271" s="556"/>
      <c r="K271" s="556" t="e">
        <f t="shared" si="46"/>
        <v>#REF!</v>
      </c>
      <c r="L271" s="556" t="e">
        <f t="shared" si="44"/>
        <v>#REF!</v>
      </c>
      <c r="M271" s="556" t="e">
        <f t="shared" si="45"/>
        <v>#REF!</v>
      </c>
      <c r="N271" s="557" t="e">
        <f>NCong!#REF!</f>
        <v>#REF!</v>
      </c>
    </row>
    <row r="272" spans="1:14" s="544" customFormat="1" ht="34.5" customHeight="1">
      <c r="A272" s="539" t="e">
        <f>NCong!#REF!</f>
        <v>#REF!</v>
      </c>
      <c r="B272" s="545" t="e">
        <f>NCong!#REF!</f>
        <v>#REF!</v>
      </c>
      <c r="C272" s="540" t="e">
        <f>NCong!#REF!</f>
        <v>#REF!</v>
      </c>
      <c r="D272" s="540" t="e">
        <f>NCong!#REF!</f>
        <v>#REF!</v>
      </c>
      <c r="E272" s="542" t="e">
        <f>NCong!#REF!</f>
        <v>#REF!</v>
      </c>
      <c r="F272" s="542"/>
      <c r="G272" s="542">
        <f>Dcu!K101</f>
        <v>0</v>
      </c>
      <c r="H272" s="542">
        <f>VLieu!I68</f>
        <v>0</v>
      </c>
      <c r="I272" s="542"/>
      <c r="J272" s="542">
        <f>Dcu!K100</f>
        <v>0</v>
      </c>
      <c r="K272" s="589" t="e">
        <f t="shared" si="46"/>
        <v>#REF!</v>
      </c>
      <c r="L272" s="589" t="e">
        <f t="shared" si="44"/>
        <v>#REF!</v>
      </c>
      <c r="M272" s="589" t="e">
        <f t="shared" si="45"/>
        <v>#REF!</v>
      </c>
      <c r="N272" s="590" t="e">
        <f>NCong!#REF!</f>
        <v>#REF!</v>
      </c>
    </row>
    <row r="273" spans="1:14" s="544" customFormat="1" ht="32.25" customHeight="1">
      <c r="A273" s="539" t="e">
        <f>NCong!#REF!</f>
        <v>#REF!</v>
      </c>
      <c r="B273" s="545" t="e">
        <f>NCong!#REF!</f>
        <v>#REF!</v>
      </c>
      <c r="C273" s="540" t="e">
        <f>NCong!#REF!</f>
        <v>#REF!</v>
      </c>
      <c r="D273" s="540" t="e">
        <f>NCong!#REF!</f>
        <v>#REF!</v>
      </c>
      <c r="E273" s="542" t="e">
        <f>NCong!#REF!</f>
        <v>#REF!</v>
      </c>
      <c r="F273" s="542"/>
      <c r="G273" s="542">
        <f>Dcu!J101</f>
        <v>3997.7304070641021</v>
      </c>
      <c r="H273" s="542">
        <f>VLieu!H$68</f>
        <v>977</v>
      </c>
      <c r="I273" s="542"/>
      <c r="J273" s="542">
        <f>Dcu!J100</f>
        <v>1187.9913045000001</v>
      </c>
      <c r="K273" s="589" t="e">
        <f t="shared" si="46"/>
        <v>#REF!</v>
      </c>
      <c r="L273" s="589" t="e">
        <f t="shared" si="44"/>
        <v>#REF!</v>
      </c>
      <c r="M273" s="589" t="e">
        <f t="shared" si="45"/>
        <v>#REF!</v>
      </c>
      <c r="N273" s="590" t="e">
        <f>NCong!#REF!</f>
        <v>#REF!</v>
      </c>
    </row>
    <row r="274" spans="1:14" s="534" customFormat="1" ht="30" customHeight="1">
      <c r="A274" s="578" t="e">
        <f>NCong!#REF!</f>
        <v>#REF!</v>
      </c>
      <c r="B274" s="579" t="e">
        <f>NCong!#REF!</f>
        <v>#REF!</v>
      </c>
      <c r="C274" s="569" t="e">
        <f>NCong!#REF!</f>
        <v>#REF!</v>
      </c>
      <c r="D274" s="569" t="e">
        <f>NCong!#REF!</f>
        <v>#REF!</v>
      </c>
      <c r="E274" s="570" t="e">
        <f>NCong!#REF!</f>
        <v>#REF!</v>
      </c>
      <c r="F274" s="570"/>
      <c r="G274" s="570"/>
      <c r="H274" s="570"/>
      <c r="I274" s="570"/>
      <c r="J274" s="570"/>
      <c r="K274" s="586" t="e">
        <f t="shared" si="46"/>
        <v>#REF!</v>
      </c>
      <c r="L274" s="586" t="e">
        <f t="shared" si="44"/>
        <v>#REF!</v>
      </c>
      <c r="M274" s="586" t="e">
        <f t="shared" si="45"/>
        <v>#REF!</v>
      </c>
      <c r="N274" s="591" t="e">
        <f>NCong!#REF!</f>
        <v>#REF!</v>
      </c>
    </row>
    <row r="275" spans="1:14" ht="30" customHeight="1">
      <c r="A275" s="1842" t="e">
        <f>NCong!#REF!</f>
        <v>#REF!</v>
      </c>
      <c r="B275" s="1813" t="e">
        <f>NCong!#REF!</f>
        <v>#REF!</v>
      </c>
      <c r="C275" s="1845" t="s">
        <v>53</v>
      </c>
      <c r="D275" s="548">
        <f>D259</f>
        <v>1</v>
      </c>
      <c r="E275" s="550" t="e">
        <f t="shared" ref="E275:J279" si="47">E259*0.5</f>
        <v>#REF!</v>
      </c>
      <c r="F275" s="550">
        <f t="shared" si="47"/>
        <v>0</v>
      </c>
      <c r="G275" s="550">
        <f t="shared" si="47"/>
        <v>9562.9286467692309</v>
      </c>
      <c r="H275" s="550">
        <f t="shared" si="47"/>
        <v>11014</v>
      </c>
      <c r="I275" s="550">
        <f t="shared" si="47"/>
        <v>11920.7624</v>
      </c>
      <c r="J275" s="550">
        <f t="shared" si="47"/>
        <v>19807.936648500003</v>
      </c>
      <c r="K275" s="547" t="e">
        <f t="shared" si="46"/>
        <v>#REF!</v>
      </c>
      <c r="L275" s="547" t="e">
        <f t="shared" si="44"/>
        <v>#REF!</v>
      </c>
      <c r="M275" s="547" t="e">
        <f t="shared" si="45"/>
        <v>#REF!</v>
      </c>
      <c r="N275" s="592" t="e">
        <f>N259*0.5</f>
        <v>#REF!</v>
      </c>
    </row>
    <row r="276" spans="1:14" ht="30" customHeight="1">
      <c r="A276" s="1842"/>
      <c r="B276" s="1813"/>
      <c r="C276" s="1845"/>
      <c r="D276" s="548" t="str">
        <f>D260</f>
        <v>2</v>
      </c>
      <c r="E276" s="550" t="e">
        <f t="shared" si="47"/>
        <v>#REF!</v>
      </c>
      <c r="F276" s="550">
        <f t="shared" si="47"/>
        <v>0</v>
      </c>
      <c r="G276" s="550">
        <f t="shared" si="47"/>
        <v>9562.9286467692309</v>
      </c>
      <c r="H276" s="550">
        <f t="shared" si="47"/>
        <v>11014</v>
      </c>
      <c r="I276" s="550">
        <f t="shared" si="47"/>
        <v>11920.7624</v>
      </c>
      <c r="J276" s="550">
        <f t="shared" si="47"/>
        <v>19807.936648500003</v>
      </c>
      <c r="K276" s="547" t="e">
        <f t="shared" si="46"/>
        <v>#REF!</v>
      </c>
      <c r="L276" s="547" t="e">
        <f t="shared" si="44"/>
        <v>#REF!</v>
      </c>
      <c r="M276" s="547" t="e">
        <f t="shared" si="45"/>
        <v>#REF!</v>
      </c>
      <c r="N276" s="592" t="e">
        <f>N260*0.5</f>
        <v>#REF!</v>
      </c>
    </row>
    <row r="277" spans="1:14" ht="30" customHeight="1">
      <c r="A277" s="1842"/>
      <c r="B277" s="1813"/>
      <c r="C277" s="1845"/>
      <c r="D277" s="548" t="str">
        <f>D261</f>
        <v>3</v>
      </c>
      <c r="E277" s="550" t="e">
        <f t="shared" si="47"/>
        <v>#REF!</v>
      </c>
      <c r="F277" s="550">
        <f t="shared" si="47"/>
        <v>0</v>
      </c>
      <c r="G277" s="550">
        <f t="shared" si="47"/>
        <v>9562.9286467692309</v>
      </c>
      <c r="H277" s="550">
        <f t="shared" si="47"/>
        <v>11014</v>
      </c>
      <c r="I277" s="550">
        <f t="shared" si="47"/>
        <v>11920.7624</v>
      </c>
      <c r="J277" s="550">
        <f t="shared" si="47"/>
        <v>19807.936648500003</v>
      </c>
      <c r="K277" s="547" t="e">
        <f t="shared" si="46"/>
        <v>#REF!</v>
      </c>
      <c r="L277" s="547" t="e">
        <f t="shared" si="44"/>
        <v>#REF!</v>
      </c>
      <c r="M277" s="547" t="e">
        <f t="shared" si="45"/>
        <v>#REF!</v>
      </c>
      <c r="N277" s="592" t="e">
        <f>N261*0.5</f>
        <v>#REF!</v>
      </c>
    </row>
    <row r="278" spans="1:14" ht="30" customHeight="1">
      <c r="A278" s="1842"/>
      <c r="B278" s="1813"/>
      <c r="C278" s="1845"/>
      <c r="D278" s="548" t="str">
        <f>D262</f>
        <v>4</v>
      </c>
      <c r="E278" s="550" t="e">
        <f t="shared" si="47"/>
        <v>#REF!</v>
      </c>
      <c r="F278" s="550">
        <f t="shared" si="47"/>
        <v>0</v>
      </c>
      <c r="G278" s="550">
        <f t="shared" si="47"/>
        <v>9562.9286467692309</v>
      </c>
      <c r="H278" s="550">
        <f t="shared" si="47"/>
        <v>11014</v>
      </c>
      <c r="I278" s="550">
        <f t="shared" si="47"/>
        <v>11920.7624</v>
      </c>
      <c r="J278" s="550">
        <f t="shared" si="47"/>
        <v>19807.936648500003</v>
      </c>
      <c r="K278" s="547" t="e">
        <f t="shared" si="46"/>
        <v>#REF!</v>
      </c>
      <c r="L278" s="547" t="e">
        <f t="shared" si="44"/>
        <v>#REF!</v>
      </c>
      <c r="M278" s="547" t="e">
        <f t="shared" si="45"/>
        <v>#REF!</v>
      </c>
      <c r="N278" s="592" t="e">
        <f>N262*0.5</f>
        <v>#REF!</v>
      </c>
    </row>
    <row r="279" spans="1:14" ht="30" customHeight="1">
      <c r="A279" s="1842"/>
      <c r="B279" s="1813"/>
      <c r="C279" s="1845"/>
      <c r="D279" s="548" t="str">
        <f>D263</f>
        <v>5</v>
      </c>
      <c r="E279" s="550" t="e">
        <f t="shared" si="47"/>
        <v>#REF!</v>
      </c>
      <c r="F279" s="550">
        <f t="shared" si="47"/>
        <v>0</v>
      </c>
      <c r="G279" s="550">
        <f t="shared" si="47"/>
        <v>9562.9286467692309</v>
      </c>
      <c r="H279" s="550">
        <f t="shared" si="47"/>
        <v>11014</v>
      </c>
      <c r="I279" s="550">
        <f t="shared" si="47"/>
        <v>11920.7624</v>
      </c>
      <c r="J279" s="550">
        <f t="shared" si="47"/>
        <v>19807.936648500003</v>
      </c>
      <c r="K279" s="547" t="e">
        <f t="shared" si="46"/>
        <v>#REF!</v>
      </c>
      <c r="L279" s="547" t="e">
        <f t="shared" si="44"/>
        <v>#REF!</v>
      </c>
      <c r="M279" s="547" t="e">
        <f t="shared" si="45"/>
        <v>#REF!</v>
      </c>
      <c r="N279" s="592" t="e">
        <f>N263*0.5</f>
        <v>#REF!</v>
      </c>
    </row>
    <row r="280" spans="1:14" ht="30" customHeight="1">
      <c r="A280" s="1844" t="str">
        <f>NCong!A223</f>
        <v>2</v>
      </c>
      <c r="B280" s="1839" t="str">
        <f>NCong!B223</f>
        <v>(2) Trường hợp đăng ký đất đai nhưng không có nhu cầu hoặc không đủ điều kiện cấp GCN thì được tính định mức đối với Mục 1, 2, 3, 4, 5, 6, 7, 8 và 9 nội dung thực hiện tại địa bàn cấp xã,phường,đặc khu; Mục 15 và 16 các nội dung thực hiện tại địa bàn tỉnh.</v>
      </c>
      <c r="C280" s="1836" t="s">
        <v>53</v>
      </c>
      <c r="D280" s="548"/>
      <c r="E280" s="550" t="e">
        <f t="shared" ref="E280:F284" si="48">E259*0.9</f>
        <v>#REF!</v>
      </c>
      <c r="F280" s="550">
        <f t="shared" si="48"/>
        <v>0</v>
      </c>
      <c r="G280" s="550"/>
      <c r="H280" s="550">
        <f t="shared" ref="H280:J284" si="49">H259*0.9</f>
        <v>19825.2</v>
      </c>
      <c r="I280" s="550">
        <f t="shared" si="49"/>
        <v>21457.372319999999</v>
      </c>
      <c r="J280" s="550">
        <f t="shared" si="49"/>
        <v>35654.285967300006</v>
      </c>
      <c r="K280" s="547" t="e">
        <f t="shared" si="46"/>
        <v>#REF!</v>
      </c>
      <c r="L280" s="547" t="e">
        <f t="shared" si="44"/>
        <v>#REF!</v>
      </c>
      <c r="M280" s="547" t="e">
        <f t="shared" si="45"/>
        <v>#REF!</v>
      </c>
      <c r="N280" s="592" t="e">
        <f>N259*0.9</f>
        <v>#REF!</v>
      </c>
    </row>
    <row r="281" spans="1:14" ht="30" customHeight="1">
      <c r="A281" s="1844"/>
      <c r="B281" s="1839"/>
      <c r="C281" s="1836"/>
      <c r="D281" s="548"/>
      <c r="E281" s="550" t="e">
        <f t="shared" si="48"/>
        <v>#REF!</v>
      </c>
      <c r="F281" s="550">
        <f t="shared" si="48"/>
        <v>0</v>
      </c>
      <c r="G281" s="550"/>
      <c r="H281" s="550">
        <f t="shared" si="49"/>
        <v>19825.2</v>
      </c>
      <c r="I281" s="550">
        <f t="shared" si="49"/>
        <v>21457.372319999999</v>
      </c>
      <c r="J281" s="550">
        <f t="shared" si="49"/>
        <v>35654.285967300006</v>
      </c>
      <c r="K281" s="547" t="e">
        <f t="shared" si="46"/>
        <v>#REF!</v>
      </c>
      <c r="L281" s="547" t="e">
        <f t="shared" si="44"/>
        <v>#REF!</v>
      </c>
      <c r="M281" s="547" t="e">
        <f t="shared" si="45"/>
        <v>#REF!</v>
      </c>
      <c r="N281" s="592" t="e">
        <f>N260*0.9</f>
        <v>#REF!</v>
      </c>
    </row>
    <row r="282" spans="1:14" ht="30" customHeight="1">
      <c r="A282" s="1844"/>
      <c r="B282" s="1839"/>
      <c r="C282" s="1836"/>
      <c r="D282" s="548"/>
      <c r="E282" s="550" t="e">
        <f t="shared" si="48"/>
        <v>#REF!</v>
      </c>
      <c r="F282" s="550">
        <f t="shared" si="48"/>
        <v>0</v>
      </c>
      <c r="G282" s="550"/>
      <c r="H282" s="550">
        <f t="shared" si="49"/>
        <v>19825.2</v>
      </c>
      <c r="I282" s="550">
        <f t="shared" si="49"/>
        <v>21457.372319999999</v>
      </c>
      <c r="J282" s="550">
        <f t="shared" si="49"/>
        <v>35654.285967300006</v>
      </c>
      <c r="K282" s="547" t="e">
        <f t="shared" si="46"/>
        <v>#REF!</v>
      </c>
      <c r="L282" s="547" t="e">
        <f t="shared" si="44"/>
        <v>#REF!</v>
      </c>
      <c r="M282" s="547" t="e">
        <f t="shared" si="45"/>
        <v>#REF!</v>
      </c>
      <c r="N282" s="592" t="e">
        <f>N261*0.9</f>
        <v>#REF!</v>
      </c>
    </row>
    <row r="283" spans="1:14" ht="30" customHeight="1">
      <c r="A283" s="1844"/>
      <c r="B283" s="1839"/>
      <c r="C283" s="1836"/>
      <c r="D283" s="548"/>
      <c r="E283" s="550" t="e">
        <f t="shared" si="48"/>
        <v>#REF!</v>
      </c>
      <c r="F283" s="550">
        <f t="shared" si="48"/>
        <v>0</v>
      </c>
      <c r="G283" s="550"/>
      <c r="H283" s="550">
        <f t="shared" si="49"/>
        <v>19825.2</v>
      </c>
      <c r="I283" s="550">
        <f t="shared" si="49"/>
        <v>21457.372319999999</v>
      </c>
      <c r="J283" s="550">
        <f t="shared" si="49"/>
        <v>35654.285967300006</v>
      </c>
      <c r="K283" s="547" t="e">
        <f t="shared" si="46"/>
        <v>#REF!</v>
      </c>
      <c r="L283" s="547" t="e">
        <f t="shared" si="44"/>
        <v>#REF!</v>
      </c>
      <c r="M283" s="547" t="e">
        <f t="shared" si="45"/>
        <v>#REF!</v>
      </c>
      <c r="N283" s="592" t="e">
        <f>N262*0.9</f>
        <v>#REF!</v>
      </c>
    </row>
    <row r="284" spans="1:14" ht="30" customHeight="1">
      <c r="A284" s="1844"/>
      <c r="B284" s="1839"/>
      <c r="C284" s="1836"/>
      <c r="D284" s="548"/>
      <c r="E284" s="550" t="e">
        <f t="shared" si="48"/>
        <v>#REF!</v>
      </c>
      <c r="F284" s="550">
        <f t="shared" si="48"/>
        <v>0</v>
      </c>
      <c r="G284" s="550"/>
      <c r="H284" s="550">
        <f t="shared" si="49"/>
        <v>19825.2</v>
      </c>
      <c r="I284" s="550">
        <f t="shared" si="49"/>
        <v>21457.372319999999</v>
      </c>
      <c r="J284" s="550">
        <f t="shared" si="49"/>
        <v>35654.285967300006</v>
      </c>
      <c r="K284" s="547" t="e">
        <f t="shared" si="46"/>
        <v>#REF!</v>
      </c>
      <c r="L284" s="547" t="e">
        <f t="shared" si="44"/>
        <v>#REF!</v>
      </c>
      <c r="M284" s="547" t="e">
        <f t="shared" si="45"/>
        <v>#REF!</v>
      </c>
      <c r="N284" s="592" t="e">
        <f>N263*0.9</f>
        <v>#REF!</v>
      </c>
    </row>
    <row r="285" spans="1:14" ht="30" customHeight="1">
      <c r="A285" s="1844" t="str">
        <f>NCong!A224</f>
        <v>3</v>
      </c>
      <c r="B285" s="1839" t="str">
        <f>NCong!B224</f>
        <v>(3) Trường hợp đăng ký đối với đất được giao để quản lý thì được tính định mức đối với Mục 1, 2, 3, 4 và 5 nội dung thực hiện tại địa bàn cấp xã; Mục 15 và 16 các nội dung thực hiện tại địa bàn tỉnh.</v>
      </c>
      <c r="C285" s="1836" t="s">
        <v>53</v>
      </c>
      <c r="D285" s="548"/>
      <c r="E285" s="550" t="e">
        <f>E259-NCong!#REF!-NCong!I202-NCong!#REF!</f>
        <v>#REF!</v>
      </c>
      <c r="F285" s="550">
        <f t="shared" ref="F285:J289" si="50">F259</f>
        <v>0</v>
      </c>
      <c r="G285" s="550">
        <f t="shared" si="50"/>
        <v>19125.857293538462</v>
      </c>
      <c r="H285" s="550">
        <f t="shared" si="50"/>
        <v>22028</v>
      </c>
      <c r="I285" s="550">
        <f t="shared" si="50"/>
        <v>23841.524799999999</v>
      </c>
      <c r="J285" s="550">
        <f t="shared" si="50"/>
        <v>39615.873297000006</v>
      </c>
      <c r="K285" s="547" t="e">
        <f>SUM(E285:J285)</f>
        <v>#REF!</v>
      </c>
      <c r="L285" s="547" t="e">
        <f>K285*15%</f>
        <v>#REF!</v>
      </c>
      <c r="M285" s="547" t="e">
        <f>K285+L285</f>
        <v>#REF!</v>
      </c>
      <c r="N285" s="592" t="e">
        <f>N259-NCong!#REF!-NCong!N202-NCong!#REF!</f>
        <v>#REF!</v>
      </c>
    </row>
    <row r="286" spans="1:14" ht="30" customHeight="1">
      <c r="A286" s="1844"/>
      <c r="B286" s="1839"/>
      <c r="C286" s="1836"/>
      <c r="D286" s="548"/>
      <c r="E286" s="550" t="e">
        <f>E260-NCong!#REF!-NCong!I203-NCong!#REF!</f>
        <v>#REF!</v>
      </c>
      <c r="F286" s="550">
        <f t="shared" si="50"/>
        <v>0</v>
      </c>
      <c r="G286" s="550">
        <f t="shared" si="50"/>
        <v>19125.857293538462</v>
      </c>
      <c r="H286" s="550">
        <f t="shared" si="50"/>
        <v>22028</v>
      </c>
      <c r="I286" s="550">
        <f t="shared" si="50"/>
        <v>23841.524799999999</v>
      </c>
      <c r="J286" s="550">
        <f t="shared" si="50"/>
        <v>39615.873297000006</v>
      </c>
      <c r="K286" s="547" t="e">
        <f>SUM(E286:J286)</f>
        <v>#REF!</v>
      </c>
      <c r="L286" s="547" t="e">
        <f>K286*15%</f>
        <v>#REF!</v>
      </c>
      <c r="M286" s="547" t="e">
        <f>K286+L286</f>
        <v>#REF!</v>
      </c>
      <c r="N286" s="592" t="e">
        <f>N260-NCong!#REF!-NCong!N203-NCong!#REF!</f>
        <v>#REF!</v>
      </c>
    </row>
    <row r="287" spans="1:14" ht="30" customHeight="1">
      <c r="A287" s="1844"/>
      <c r="B287" s="1839"/>
      <c r="C287" s="1836"/>
      <c r="D287" s="548"/>
      <c r="E287" s="550" t="e">
        <f>E261-NCong!#REF!-NCong!I204-NCong!#REF!</f>
        <v>#REF!</v>
      </c>
      <c r="F287" s="550">
        <f t="shared" si="50"/>
        <v>0</v>
      </c>
      <c r="G287" s="550">
        <f t="shared" si="50"/>
        <v>19125.857293538462</v>
      </c>
      <c r="H287" s="550">
        <f t="shared" si="50"/>
        <v>22028</v>
      </c>
      <c r="I287" s="550">
        <f t="shared" si="50"/>
        <v>23841.524799999999</v>
      </c>
      <c r="J287" s="550">
        <f t="shared" si="50"/>
        <v>39615.873297000006</v>
      </c>
      <c r="K287" s="547" t="e">
        <f>SUM(E287:J287)</f>
        <v>#REF!</v>
      </c>
      <c r="L287" s="547" t="e">
        <f>K287*15%</f>
        <v>#REF!</v>
      </c>
      <c r="M287" s="547" t="e">
        <f>K287+L287</f>
        <v>#REF!</v>
      </c>
      <c r="N287" s="592" t="e">
        <f>N261-NCong!#REF!-NCong!N204-NCong!#REF!</f>
        <v>#REF!</v>
      </c>
    </row>
    <row r="288" spans="1:14" ht="30" customHeight="1">
      <c r="A288" s="1844"/>
      <c r="B288" s="1839"/>
      <c r="C288" s="1836"/>
      <c r="D288" s="548"/>
      <c r="E288" s="550" t="e">
        <f>E262-NCong!#REF!-NCong!#REF!-NCong!#REF!</f>
        <v>#REF!</v>
      </c>
      <c r="F288" s="550">
        <f t="shared" si="50"/>
        <v>0</v>
      </c>
      <c r="G288" s="550">
        <f t="shared" si="50"/>
        <v>19125.857293538462</v>
      </c>
      <c r="H288" s="550">
        <f t="shared" si="50"/>
        <v>22028</v>
      </c>
      <c r="I288" s="550">
        <f t="shared" si="50"/>
        <v>23841.524799999999</v>
      </c>
      <c r="J288" s="550">
        <f t="shared" si="50"/>
        <v>39615.873297000006</v>
      </c>
      <c r="K288" s="547" t="e">
        <f>SUM(E288:J288)</f>
        <v>#REF!</v>
      </c>
      <c r="L288" s="547" t="e">
        <f>K288*15%</f>
        <v>#REF!</v>
      </c>
      <c r="M288" s="547" t="e">
        <f>K288+L288</f>
        <v>#REF!</v>
      </c>
      <c r="N288" s="592" t="e">
        <f>N262-NCong!#REF!-NCong!#REF!-NCong!#REF!</f>
        <v>#REF!</v>
      </c>
    </row>
    <row r="289" spans="1:14" ht="30" customHeight="1">
      <c r="A289" s="1844"/>
      <c r="B289" s="1839"/>
      <c r="C289" s="1836"/>
      <c r="D289" s="548"/>
      <c r="E289" s="550" t="e">
        <f>E263-NCong!#REF!-NCong!#REF!-NCong!#REF!</f>
        <v>#REF!</v>
      </c>
      <c r="F289" s="550">
        <f t="shared" si="50"/>
        <v>0</v>
      </c>
      <c r="G289" s="550">
        <f t="shared" si="50"/>
        <v>19125.857293538462</v>
      </c>
      <c r="H289" s="550">
        <f t="shared" si="50"/>
        <v>22028</v>
      </c>
      <c r="I289" s="550">
        <f t="shared" si="50"/>
        <v>23841.524799999999</v>
      </c>
      <c r="J289" s="550">
        <f t="shared" si="50"/>
        <v>39615.873297000006</v>
      </c>
      <c r="K289" s="547" t="e">
        <f>SUM(E289:J289)</f>
        <v>#REF!</v>
      </c>
      <c r="L289" s="547" t="e">
        <f>K289*15%</f>
        <v>#REF!</v>
      </c>
      <c r="M289" s="547" t="e">
        <f>K289+L289</f>
        <v>#REF!</v>
      </c>
      <c r="N289" s="592" t="e">
        <f>N263-NCong!#REF!-NCong!#REF!-NCong!#REF!</f>
        <v>#REF!</v>
      </c>
    </row>
    <row r="290" spans="1:14" ht="30" customHeight="1">
      <c r="A290" s="587"/>
      <c r="B290" s="1847" t="s">
        <v>517</v>
      </c>
      <c r="C290" s="1847"/>
      <c r="D290" s="1847"/>
      <c r="E290" s="1847"/>
      <c r="F290" s="1847"/>
      <c r="G290" s="1847"/>
      <c r="H290" s="1847"/>
      <c r="I290" s="1847"/>
      <c r="J290" s="1847"/>
      <c r="K290" s="1847"/>
      <c r="L290" s="1847"/>
      <c r="M290" s="1847"/>
      <c r="N290" s="1848"/>
    </row>
    <row r="291" spans="1:14" ht="30" customHeight="1">
      <c r="A291" s="587"/>
      <c r="B291" s="588"/>
      <c r="C291" s="1832" t="s">
        <v>53</v>
      </c>
      <c r="D291" s="585">
        <v>1</v>
      </c>
      <c r="E291" s="537">
        <v>1427305.9350000001</v>
      </c>
      <c r="F291" s="537">
        <v>0</v>
      </c>
      <c r="G291" s="537">
        <v>3714.7104166666672</v>
      </c>
      <c r="H291" s="537">
        <v>21665.880000000005</v>
      </c>
      <c r="I291" s="537">
        <v>15169.32704</v>
      </c>
      <c r="J291" s="537">
        <v>31615.776000000002</v>
      </c>
      <c r="K291" s="537">
        <v>1499471.6284566666</v>
      </c>
      <c r="L291" s="537">
        <v>224920.74426849998</v>
      </c>
      <c r="M291" s="537">
        <v>1724392.3727251666</v>
      </c>
      <c r="N291" s="538">
        <v>51426.075000000012</v>
      </c>
    </row>
    <row r="292" spans="1:14" ht="30" customHeight="1">
      <c r="A292" s="587"/>
      <c r="B292" s="588"/>
      <c r="C292" s="1832"/>
      <c r="D292" s="585" t="s">
        <v>34</v>
      </c>
      <c r="E292" s="537">
        <v>1465433.1850000001</v>
      </c>
      <c r="F292" s="537">
        <v>0</v>
      </c>
      <c r="G292" s="537">
        <v>3714.7104166666672</v>
      </c>
      <c r="H292" s="537">
        <v>21665.880000000005</v>
      </c>
      <c r="I292" s="537">
        <v>15169.32704</v>
      </c>
      <c r="J292" s="537">
        <v>31615.776000000002</v>
      </c>
      <c r="K292" s="537">
        <v>1537598.8784566666</v>
      </c>
      <c r="L292" s="537">
        <v>230639.83176849998</v>
      </c>
      <c r="M292" s="537">
        <v>1768238.7102251665</v>
      </c>
      <c r="N292" s="538">
        <v>52771.075000000012</v>
      </c>
    </row>
    <row r="293" spans="1:14" ht="30" customHeight="1">
      <c r="A293" s="587"/>
      <c r="B293" s="588"/>
      <c r="C293" s="1832"/>
      <c r="D293" s="585" t="s">
        <v>35</v>
      </c>
      <c r="E293" s="537">
        <v>1507373.1600000001</v>
      </c>
      <c r="F293" s="537">
        <v>0</v>
      </c>
      <c r="G293" s="537">
        <v>3714.7104166666672</v>
      </c>
      <c r="H293" s="537">
        <v>21665.880000000005</v>
      </c>
      <c r="I293" s="537">
        <v>15169.32704</v>
      </c>
      <c r="J293" s="537">
        <v>31615.776000000002</v>
      </c>
      <c r="K293" s="537">
        <v>1579538.8534566667</v>
      </c>
      <c r="L293" s="537">
        <v>236930.8280185</v>
      </c>
      <c r="M293" s="537">
        <v>1816469.6814751667</v>
      </c>
      <c r="N293" s="538">
        <v>54250.575000000012</v>
      </c>
    </row>
    <row r="294" spans="1:14" ht="30" customHeight="1">
      <c r="A294" s="587"/>
      <c r="B294" s="588"/>
      <c r="C294" s="1832"/>
      <c r="D294" s="585" t="s">
        <v>158</v>
      </c>
      <c r="E294" s="537">
        <v>1553125.86</v>
      </c>
      <c r="F294" s="537">
        <v>0</v>
      </c>
      <c r="G294" s="537">
        <v>3714.7104166666672</v>
      </c>
      <c r="H294" s="537">
        <v>21665.880000000005</v>
      </c>
      <c r="I294" s="537">
        <v>15169.32704</v>
      </c>
      <c r="J294" s="537">
        <v>31615.776000000002</v>
      </c>
      <c r="K294" s="537">
        <v>1625291.5534566669</v>
      </c>
      <c r="L294" s="537">
        <v>243793.73301850003</v>
      </c>
      <c r="M294" s="537">
        <v>1869085.2864751669</v>
      </c>
      <c r="N294" s="538">
        <v>55864.575000000012</v>
      </c>
    </row>
    <row r="295" spans="1:14" ht="30" customHeight="1">
      <c r="A295" s="587"/>
      <c r="B295" s="588"/>
      <c r="C295" s="1832"/>
      <c r="D295" s="585" t="s">
        <v>159</v>
      </c>
      <c r="E295" s="537">
        <v>1602691.2850000001</v>
      </c>
      <c r="F295" s="537">
        <v>0</v>
      </c>
      <c r="G295" s="537">
        <v>3714.7104166666672</v>
      </c>
      <c r="H295" s="537">
        <v>21665.880000000005</v>
      </c>
      <c r="I295" s="537">
        <v>15169.32704</v>
      </c>
      <c r="J295" s="537">
        <v>31615.776000000002</v>
      </c>
      <c r="K295" s="537">
        <v>1674856.9784566667</v>
      </c>
      <c r="L295" s="537">
        <v>251228.5467685</v>
      </c>
      <c r="M295" s="537">
        <v>1926085.5252251667</v>
      </c>
      <c r="N295" s="538">
        <v>57613.075000000012</v>
      </c>
    </row>
    <row r="296" spans="1:14" ht="30" customHeight="1">
      <c r="A296" s="1833" t="s">
        <v>129</v>
      </c>
      <c r="B296" s="1834" t="s">
        <v>196</v>
      </c>
      <c r="C296" s="1835" t="s">
        <v>53</v>
      </c>
      <c r="D296" s="540">
        <v>1</v>
      </c>
      <c r="E296" s="542">
        <v>1399991.4350000001</v>
      </c>
      <c r="F296" s="542"/>
      <c r="G296" s="542">
        <v>3695.1782852564106</v>
      </c>
      <c r="H296" s="542">
        <v>21201.480000000003</v>
      </c>
      <c r="I296" s="542">
        <v>15169.32704</v>
      </c>
      <c r="J296" s="542">
        <v>31592.22</v>
      </c>
      <c r="K296" s="542">
        <v>1471649.6403252564</v>
      </c>
      <c r="L296" s="542">
        <v>220747.44604878846</v>
      </c>
      <c r="M296" s="542">
        <v>1692397.0863740449</v>
      </c>
      <c r="N296" s="543">
        <v>50484.575000000012</v>
      </c>
    </row>
    <row r="297" spans="1:14" ht="30" customHeight="1">
      <c r="A297" s="1833"/>
      <c r="B297" s="1834"/>
      <c r="C297" s="1835"/>
      <c r="D297" s="540">
        <v>2</v>
      </c>
      <c r="E297" s="542">
        <v>1438118.6850000001</v>
      </c>
      <c r="F297" s="542"/>
      <c r="G297" s="542">
        <v>3695.1782852564106</v>
      </c>
      <c r="H297" s="542">
        <v>21201.480000000003</v>
      </c>
      <c r="I297" s="542">
        <v>15169.32704</v>
      </c>
      <c r="J297" s="542">
        <v>31592.22</v>
      </c>
      <c r="K297" s="542">
        <v>1509776.8903252564</v>
      </c>
      <c r="L297" s="542">
        <v>226466.53354878846</v>
      </c>
      <c r="M297" s="542">
        <v>1736243.4238740448</v>
      </c>
      <c r="N297" s="543">
        <v>51829.575000000012</v>
      </c>
    </row>
    <row r="298" spans="1:14" ht="30" customHeight="1">
      <c r="A298" s="1833"/>
      <c r="B298" s="1834"/>
      <c r="C298" s="1835"/>
      <c r="D298" s="540">
        <v>3</v>
      </c>
      <c r="E298" s="542">
        <v>1480058.6600000001</v>
      </c>
      <c r="F298" s="542"/>
      <c r="G298" s="542">
        <v>3695.1782852564106</v>
      </c>
      <c r="H298" s="542">
        <v>21201.480000000003</v>
      </c>
      <c r="I298" s="542">
        <v>15169.32704</v>
      </c>
      <c r="J298" s="542">
        <v>31592.22</v>
      </c>
      <c r="K298" s="542">
        <v>1551716.8653252565</v>
      </c>
      <c r="L298" s="542">
        <v>232757.52979878846</v>
      </c>
      <c r="M298" s="542">
        <v>1784474.395124045</v>
      </c>
      <c r="N298" s="543">
        <v>53309.075000000012</v>
      </c>
    </row>
    <row r="299" spans="1:14" ht="30" customHeight="1">
      <c r="A299" s="1833"/>
      <c r="B299" s="1834"/>
      <c r="C299" s="1835"/>
      <c r="D299" s="540">
        <v>4</v>
      </c>
      <c r="E299" s="542">
        <v>1525811.36</v>
      </c>
      <c r="F299" s="542"/>
      <c r="G299" s="542">
        <v>3695.1782852564106</v>
      </c>
      <c r="H299" s="542">
        <v>21201.480000000003</v>
      </c>
      <c r="I299" s="542">
        <v>15169.32704</v>
      </c>
      <c r="J299" s="542">
        <v>31592.22</v>
      </c>
      <c r="K299" s="542">
        <v>1597469.5653252564</v>
      </c>
      <c r="L299" s="542">
        <v>239620.43479878845</v>
      </c>
      <c r="M299" s="542">
        <v>1837090.0001240449</v>
      </c>
      <c r="N299" s="543">
        <v>54923.075000000012</v>
      </c>
    </row>
    <row r="300" spans="1:14" ht="30" customHeight="1">
      <c r="A300" s="1833"/>
      <c r="B300" s="1834"/>
      <c r="C300" s="1835"/>
      <c r="D300" s="540">
        <v>5</v>
      </c>
      <c r="E300" s="542">
        <v>1575376.7850000001</v>
      </c>
      <c r="F300" s="542"/>
      <c r="G300" s="542">
        <v>3695.1782852564106</v>
      </c>
      <c r="H300" s="542">
        <v>21201.480000000003</v>
      </c>
      <c r="I300" s="542">
        <v>15169.32704</v>
      </c>
      <c r="J300" s="542">
        <v>31592.22</v>
      </c>
      <c r="K300" s="542">
        <v>1647034.9903252565</v>
      </c>
      <c r="L300" s="542">
        <v>247055.24854878846</v>
      </c>
      <c r="M300" s="542">
        <v>1894090.238874045</v>
      </c>
      <c r="N300" s="543">
        <v>56671.575000000012</v>
      </c>
    </row>
    <row r="301" spans="1:14" ht="80.099999999999994" customHeight="1">
      <c r="A301" s="546" t="s">
        <v>220</v>
      </c>
      <c r="B301" s="559" t="s">
        <v>221</v>
      </c>
      <c r="C301" s="548">
        <v>0</v>
      </c>
      <c r="D301" s="548">
        <v>0</v>
      </c>
      <c r="E301" s="550">
        <v>0</v>
      </c>
      <c r="F301" s="550"/>
      <c r="G301" s="550"/>
      <c r="H301" s="550"/>
      <c r="I301" s="550"/>
      <c r="J301" s="550"/>
      <c r="K301" s="550">
        <v>0</v>
      </c>
      <c r="L301" s="550">
        <v>0</v>
      </c>
      <c r="M301" s="550">
        <v>0</v>
      </c>
      <c r="N301" s="551">
        <v>0</v>
      </c>
    </row>
    <row r="302" spans="1:14" ht="30" customHeight="1">
      <c r="A302" s="553" t="s">
        <v>222</v>
      </c>
      <c r="B302" s="574" t="s">
        <v>168</v>
      </c>
      <c r="C302" s="555" t="s">
        <v>1</v>
      </c>
      <c r="D302" s="555" t="s">
        <v>204</v>
      </c>
      <c r="E302" s="556">
        <v>0</v>
      </c>
      <c r="F302" s="556"/>
      <c r="G302" s="556"/>
      <c r="H302" s="556"/>
      <c r="I302" s="556"/>
      <c r="J302" s="556"/>
      <c r="K302" s="556">
        <v>0</v>
      </c>
      <c r="L302" s="556">
        <v>0</v>
      </c>
      <c r="M302" s="556">
        <v>0</v>
      </c>
      <c r="N302" s="557">
        <v>0</v>
      </c>
    </row>
    <row r="303" spans="1:14" ht="30" customHeight="1">
      <c r="A303" s="553" t="s">
        <v>223</v>
      </c>
      <c r="B303" s="574" t="s">
        <v>169</v>
      </c>
      <c r="C303" s="555" t="s">
        <v>1</v>
      </c>
      <c r="D303" s="555" t="s">
        <v>204</v>
      </c>
      <c r="E303" s="556">
        <v>0</v>
      </c>
      <c r="F303" s="556"/>
      <c r="G303" s="556"/>
      <c r="H303" s="556"/>
      <c r="I303" s="556"/>
      <c r="J303" s="556"/>
      <c r="K303" s="556">
        <v>0</v>
      </c>
      <c r="L303" s="556">
        <v>0</v>
      </c>
      <c r="M303" s="556">
        <v>0</v>
      </c>
      <c r="N303" s="557">
        <v>0</v>
      </c>
    </row>
    <row r="304" spans="1:14" ht="36.75" customHeight="1">
      <c r="A304" s="539" t="s">
        <v>130</v>
      </c>
      <c r="B304" s="545" t="s">
        <v>166</v>
      </c>
      <c r="C304" s="540">
        <v>0</v>
      </c>
      <c r="D304" s="540">
        <v>0</v>
      </c>
      <c r="E304" s="542">
        <v>20106</v>
      </c>
      <c r="F304" s="542"/>
      <c r="G304" s="542"/>
      <c r="H304" s="542"/>
      <c r="I304" s="542"/>
      <c r="J304" s="542"/>
      <c r="K304" s="589">
        <v>20106</v>
      </c>
      <c r="L304" s="589">
        <v>3015.9</v>
      </c>
      <c r="M304" s="589">
        <v>23121.9</v>
      </c>
      <c r="N304" s="590">
        <v>672.5</v>
      </c>
    </row>
    <row r="305" spans="1:14" ht="34.5" customHeight="1">
      <c r="A305" s="539" t="s">
        <v>131</v>
      </c>
      <c r="B305" s="545" t="s">
        <v>140</v>
      </c>
      <c r="C305" s="540">
        <v>0</v>
      </c>
      <c r="D305" s="540">
        <v>0</v>
      </c>
      <c r="E305" s="542">
        <v>7208.5</v>
      </c>
      <c r="F305" s="542"/>
      <c r="G305" s="542">
        <v>19.532131410256412</v>
      </c>
      <c r="H305" s="542">
        <v>464.40000000000003</v>
      </c>
      <c r="I305" s="542">
        <v>0</v>
      </c>
      <c r="J305" s="542">
        <v>23.555999999999997</v>
      </c>
      <c r="K305" s="589">
        <v>7715.9881314102558</v>
      </c>
      <c r="L305" s="589">
        <v>1157.3982197115383</v>
      </c>
      <c r="M305" s="589">
        <v>8873.3863511217933</v>
      </c>
      <c r="N305" s="590">
        <v>269</v>
      </c>
    </row>
    <row r="306" spans="1:14" ht="30" customHeight="1">
      <c r="A306" s="578" t="s">
        <v>132</v>
      </c>
      <c r="B306" s="579" t="s">
        <v>258</v>
      </c>
      <c r="C306" s="569">
        <v>0</v>
      </c>
      <c r="D306" s="569">
        <v>0</v>
      </c>
      <c r="E306" s="570">
        <v>0</v>
      </c>
      <c r="F306" s="570"/>
      <c r="G306" s="570"/>
      <c r="H306" s="570"/>
      <c r="I306" s="570"/>
      <c r="J306" s="570"/>
      <c r="K306" s="586">
        <v>0</v>
      </c>
      <c r="L306" s="586">
        <v>0</v>
      </c>
      <c r="M306" s="586">
        <v>0</v>
      </c>
      <c r="N306" s="591">
        <v>0</v>
      </c>
    </row>
    <row r="307" spans="1:14" ht="30" customHeight="1">
      <c r="A307" s="1842" t="s">
        <v>34</v>
      </c>
      <c r="B307" s="1813" t="s">
        <v>265</v>
      </c>
      <c r="C307" s="1845" t="s">
        <v>53</v>
      </c>
      <c r="D307" s="548">
        <v>1</v>
      </c>
      <c r="E307" s="550">
        <v>713652.96750000003</v>
      </c>
      <c r="F307" s="550">
        <v>0</v>
      </c>
      <c r="G307" s="550">
        <v>1857.3552083333336</v>
      </c>
      <c r="H307" s="550">
        <v>10832.940000000002</v>
      </c>
      <c r="I307" s="550">
        <v>7584.6635200000001</v>
      </c>
      <c r="J307" s="550">
        <v>15807.888000000001</v>
      </c>
      <c r="K307" s="547">
        <v>749735.8142283333</v>
      </c>
      <c r="L307" s="547">
        <v>112460.37213424999</v>
      </c>
      <c r="M307" s="547">
        <v>862196.18636258331</v>
      </c>
      <c r="N307" s="592">
        <v>25713.037500000006</v>
      </c>
    </row>
    <row r="308" spans="1:14" ht="30" customHeight="1">
      <c r="A308" s="1842"/>
      <c r="B308" s="1813"/>
      <c r="C308" s="1845"/>
      <c r="D308" s="548" t="s">
        <v>34</v>
      </c>
      <c r="E308" s="550">
        <v>732716.59250000003</v>
      </c>
      <c r="F308" s="550">
        <v>0</v>
      </c>
      <c r="G308" s="550">
        <v>1857.3552083333336</v>
      </c>
      <c r="H308" s="550">
        <v>10832.940000000002</v>
      </c>
      <c r="I308" s="550">
        <v>7584.6635200000001</v>
      </c>
      <c r="J308" s="550">
        <v>15807.888000000001</v>
      </c>
      <c r="K308" s="547">
        <v>768799.4392283333</v>
      </c>
      <c r="L308" s="547">
        <v>115319.91588424999</v>
      </c>
      <c r="M308" s="547">
        <v>884119.35511258326</v>
      </c>
      <c r="N308" s="592">
        <v>26385.537500000006</v>
      </c>
    </row>
    <row r="309" spans="1:14" ht="30" customHeight="1">
      <c r="A309" s="1842"/>
      <c r="B309" s="1813"/>
      <c r="C309" s="1845"/>
      <c r="D309" s="548" t="s">
        <v>35</v>
      </c>
      <c r="E309" s="550">
        <v>753686.58000000007</v>
      </c>
      <c r="F309" s="550">
        <v>0</v>
      </c>
      <c r="G309" s="550">
        <v>1857.3552083333336</v>
      </c>
      <c r="H309" s="550">
        <v>10832.940000000002</v>
      </c>
      <c r="I309" s="550">
        <v>7584.6635200000001</v>
      </c>
      <c r="J309" s="550">
        <v>15807.888000000001</v>
      </c>
      <c r="K309" s="547">
        <v>789769.42672833335</v>
      </c>
      <c r="L309" s="547">
        <v>118465.41400925</v>
      </c>
      <c r="M309" s="547">
        <v>908234.84073758335</v>
      </c>
      <c r="N309" s="592">
        <v>27125.287500000006</v>
      </c>
    </row>
    <row r="310" spans="1:14" ht="30" customHeight="1">
      <c r="A310" s="1842"/>
      <c r="B310" s="1813"/>
      <c r="C310" s="1845"/>
      <c r="D310" s="548" t="s">
        <v>158</v>
      </c>
      <c r="E310" s="550">
        <v>776562.93</v>
      </c>
      <c r="F310" s="550">
        <v>0</v>
      </c>
      <c r="G310" s="550">
        <v>1857.3552083333336</v>
      </c>
      <c r="H310" s="550">
        <v>10832.940000000002</v>
      </c>
      <c r="I310" s="550">
        <v>7584.6635200000001</v>
      </c>
      <c r="J310" s="550">
        <v>15807.888000000001</v>
      </c>
      <c r="K310" s="547">
        <v>812645.77672833344</v>
      </c>
      <c r="L310" s="547">
        <v>121896.86650925002</v>
      </c>
      <c r="M310" s="547">
        <v>934542.64323758346</v>
      </c>
      <c r="N310" s="592">
        <v>27932.287500000006</v>
      </c>
    </row>
    <row r="311" spans="1:14" ht="30" customHeight="1">
      <c r="A311" s="1842"/>
      <c r="B311" s="1813"/>
      <c r="C311" s="1845"/>
      <c r="D311" s="548" t="s">
        <v>159</v>
      </c>
      <c r="E311" s="550">
        <v>801345.64250000007</v>
      </c>
      <c r="F311" s="550">
        <v>0</v>
      </c>
      <c r="G311" s="550">
        <v>1857.3552083333336</v>
      </c>
      <c r="H311" s="550">
        <v>10832.940000000002</v>
      </c>
      <c r="I311" s="550">
        <v>7584.6635200000001</v>
      </c>
      <c r="J311" s="550">
        <v>15807.888000000001</v>
      </c>
      <c r="K311" s="547">
        <v>837428.48922833335</v>
      </c>
      <c r="L311" s="547">
        <v>125614.27338425</v>
      </c>
      <c r="M311" s="547">
        <v>963042.76261258335</v>
      </c>
      <c r="N311" s="592">
        <v>28806.537500000006</v>
      </c>
    </row>
    <row r="312" spans="1:14" ht="30" customHeight="1">
      <c r="A312" s="1844" t="s">
        <v>35</v>
      </c>
      <c r="B312" s="1839" t="s">
        <v>266</v>
      </c>
      <c r="C312" s="1836" t="s">
        <v>53</v>
      </c>
      <c r="D312" s="548"/>
      <c r="E312" s="550">
        <v>1284575.3415000001</v>
      </c>
      <c r="F312" s="550">
        <v>0</v>
      </c>
      <c r="G312" s="550">
        <v>3343.2393750000006</v>
      </c>
      <c r="H312" s="550">
        <v>19499.292000000005</v>
      </c>
      <c r="I312" s="550">
        <v>13652.394336000001</v>
      </c>
      <c r="J312" s="550">
        <v>28454.198400000001</v>
      </c>
      <c r="K312" s="547">
        <v>1349524.4656110001</v>
      </c>
      <c r="L312" s="547">
        <v>202428.66984165</v>
      </c>
      <c r="M312" s="547">
        <v>1551953.13545265</v>
      </c>
      <c r="N312" s="592">
        <v>46283.467500000013</v>
      </c>
    </row>
    <row r="313" spans="1:14" ht="30" customHeight="1">
      <c r="A313" s="1844"/>
      <c r="B313" s="1839"/>
      <c r="C313" s="1836"/>
      <c r="D313" s="548"/>
      <c r="E313" s="550">
        <v>1318889.8665</v>
      </c>
      <c r="F313" s="550">
        <v>0</v>
      </c>
      <c r="G313" s="550">
        <v>3343.2393750000006</v>
      </c>
      <c r="H313" s="550">
        <v>19499.292000000005</v>
      </c>
      <c r="I313" s="550">
        <v>13652.394336000001</v>
      </c>
      <c r="J313" s="550">
        <v>28454.198400000001</v>
      </c>
      <c r="K313" s="547">
        <v>1383838.990611</v>
      </c>
      <c r="L313" s="547">
        <v>207575.84859164999</v>
      </c>
      <c r="M313" s="547">
        <v>1591414.8392026499</v>
      </c>
      <c r="N313" s="592">
        <v>47493.967500000013</v>
      </c>
    </row>
    <row r="314" spans="1:14" ht="30" customHeight="1">
      <c r="A314" s="1844"/>
      <c r="B314" s="1839"/>
      <c r="C314" s="1836"/>
      <c r="D314" s="548"/>
      <c r="E314" s="550">
        <v>1356635.8440000003</v>
      </c>
      <c r="F314" s="550">
        <v>0</v>
      </c>
      <c r="G314" s="550">
        <v>3343.2393750000006</v>
      </c>
      <c r="H314" s="550">
        <v>19499.292000000005</v>
      </c>
      <c r="I314" s="550">
        <v>13652.394336000001</v>
      </c>
      <c r="J314" s="550">
        <v>28454.198400000001</v>
      </c>
      <c r="K314" s="547">
        <v>1421584.9681110003</v>
      </c>
      <c r="L314" s="547">
        <v>213237.74521665004</v>
      </c>
      <c r="M314" s="547">
        <v>1634822.7133276502</v>
      </c>
      <c r="N314" s="592">
        <v>48825.517500000009</v>
      </c>
    </row>
    <row r="315" spans="1:14" ht="30" customHeight="1">
      <c r="A315" s="1844"/>
      <c r="B315" s="1839"/>
      <c r="C315" s="1836"/>
      <c r="D315" s="548"/>
      <c r="E315" s="550">
        <v>1397813.2740000002</v>
      </c>
      <c r="F315" s="550">
        <v>0</v>
      </c>
      <c r="G315" s="550">
        <v>3343.2393750000006</v>
      </c>
      <c r="H315" s="550">
        <v>19499.292000000005</v>
      </c>
      <c r="I315" s="550">
        <v>13652.394336000001</v>
      </c>
      <c r="J315" s="550">
        <v>28454.198400000001</v>
      </c>
      <c r="K315" s="547">
        <v>1462762.3981110002</v>
      </c>
      <c r="L315" s="547">
        <v>219414.35971665001</v>
      </c>
      <c r="M315" s="547">
        <v>1682176.7578276503</v>
      </c>
      <c r="N315" s="592">
        <v>50278.117500000015</v>
      </c>
    </row>
    <row r="316" spans="1:14" ht="30" customHeight="1">
      <c r="A316" s="1844"/>
      <c r="B316" s="1839"/>
      <c r="C316" s="1836"/>
      <c r="D316" s="548"/>
      <c r="E316" s="550">
        <v>1442422.1565000003</v>
      </c>
      <c r="F316" s="550">
        <v>0</v>
      </c>
      <c r="G316" s="550">
        <v>3343.2393750000006</v>
      </c>
      <c r="H316" s="550">
        <v>19499.292000000005</v>
      </c>
      <c r="I316" s="550">
        <v>13652.394336000001</v>
      </c>
      <c r="J316" s="550">
        <v>28454.198400000001</v>
      </c>
      <c r="K316" s="547">
        <v>1507371.2806110003</v>
      </c>
      <c r="L316" s="547">
        <v>226105.69209165004</v>
      </c>
      <c r="M316" s="547">
        <v>1733476.9727026504</v>
      </c>
      <c r="N316" s="592">
        <v>51851.767500000009</v>
      </c>
    </row>
    <row r="317" spans="1:14" ht="30" customHeight="1">
      <c r="A317" s="1844" t="s">
        <v>158</v>
      </c>
      <c r="B317" s="1839" t="s">
        <v>267</v>
      </c>
      <c r="C317" s="1836" t="s">
        <v>53</v>
      </c>
      <c r="D317" s="548"/>
      <c r="E317" s="550">
        <v>664760.93500000006</v>
      </c>
      <c r="F317" s="550">
        <v>0</v>
      </c>
      <c r="G317" s="550">
        <v>3714.7104166666672</v>
      </c>
      <c r="H317" s="550">
        <v>21665.880000000005</v>
      </c>
      <c r="I317" s="550">
        <v>15169.32704</v>
      </c>
      <c r="J317" s="550">
        <v>31615.776000000002</v>
      </c>
      <c r="K317" s="547">
        <v>736926.62845666672</v>
      </c>
      <c r="L317" s="547">
        <v>110538.9942685</v>
      </c>
      <c r="M317" s="547">
        <v>847465.62272516673</v>
      </c>
      <c r="N317" s="592">
        <v>24526.075000000012</v>
      </c>
    </row>
    <row r="318" spans="1:14" ht="30" customHeight="1">
      <c r="A318" s="1844"/>
      <c r="B318" s="1839"/>
      <c r="C318" s="1836"/>
      <c r="D318" s="548"/>
      <c r="E318" s="550">
        <v>664760.93500000006</v>
      </c>
      <c r="F318" s="550">
        <v>0</v>
      </c>
      <c r="G318" s="550">
        <v>3714.7104166666672</v>
      </c>
      <c r="H318" s="550">
        <v>21665.880000000005</v>
      </c>
      <c r="I318" s="550">
        <v>15169.32704</v>
      </c>
      <c r="J318" s="550">
        <v>31615.776000000002</v>
      </c>
      <c r="K318" s="547">
        <v>736926.62845666672</v>
      </c>
      <c r="L318" s="547">
        <v>110538.9942685</v>
      </c>
      <c r="M318" s="547">
        <v>847465.62272516673</v>
      </c>
      <c r="N318" s="592">
        <v>24526.075000000012</v>
      </c>
    </row>
    <row r="319" spans="1:14" ht="30" customHeight="1">
      <c r="A319" s="1844"/>
      <c r="B319" s="1839"/>
      <c r="C319" s="1836"/>
      <c r="D319" s="548"/>
      <c r="E319" s="550">
        <v>664760.93500000017</v>
      </c>
      <c r="F319" s="550">
        <v>0</v>
      </c>
      <c r="G319" s="550">
        <v>3714.7104166666672</v>
      </c>
      <c r="H319" s="550">
        <v>21665.880000000005</v>
      </c>
      <c r="I319" s="550">
        <v>15169.32704</v>
      </c>
      <c r="J319" s="550">
        <v>31615.776000000002</v>
      </c>
      <c r="K319" s="547">
        <v>736926.62845666683</v>
      </c>
      <c r="L319" s="547">
        <v>110538.99426850003</v>
      </c>
      <c r="M319" s="547">
        <v>847465.62272516685</v>
      </c>
      <c r="N319" s="592">
        <v>24526.075000000012</v>
      </c>
    </row>
    <row r="320" spans="1:14" ht="30" customHeight="1">
      <c r="A320" s="1844"/>
      <c r="B320" s="1839"/>
      <c r="C320" s="1836"/>
      <c r="D320" s="548"/>
      <c r="E320" s="550">
        <v>664760.93500000006</v>
      </c>
      <c r="F320" s="550">
        <v>0</v>
      </c>
      <c r="G320" s="550">
        <v>3714.7104166666672</v>
      </c>
      <c r="H320" s="550">
        <v>21665.880000000005</v>
      </c>
      <c r="I320" s="550">
        <v>15169.32704</v>
      </c>
      <c r="J320" s="550">
        <v>31615.776000000002</v>
      </c>
      <c r="K320" s="547">
        <v>736926.62845666672</v>
      </c>
      <c r="L320" s="547">
        <v>110538.9942685</v>
      </c>
      <c r="M320" s="547">
        <v>847465.62272516673</v>
      </c>
      <c r="N320" s="592">
        <v>24526.075000000012</v>
      </c>
    </row>
    <row r="321" spans="1:14" ht="30" customHeight="1">
      <c r="A321" s="1844"/>
      <c r="B321" s="1839"/>
      <c r="C321" s="1836"/>
      <c r="D321" s="548"/>
      <c r="E321" s="550">
        <v>664760.93500000017</v>
      </c>
      <c r="F321" s="550">
        <v>0</v>
      </c>
      <c r="G321" s="550">
        <v>3714.7104166666672</v>
      </c>
      <c r="H321" s="550">
        <v>21665.880000000005</v>
      </c>
      <c r="I321" s="550">
        <v>15169.32704</v>
      </c>
      <c r="J321" s="550">
        <v>31615.776000000002</v>
      </c>
      <c r="K321" s="547">
        <v>736926.62845666683</v>
      </c>
      <c r="L321" s="547">
        <v>110538.99426850003</v>
      </c>
      <c r="M321" s="547">
        <v>847465.62272516685</v>
      </c>
      <c r="N321" s="592">
        <v>24526.075000000012</v>
      </c>
    </row>
    <row r="322" spans="1:14" ht="30" customHeight="1">
      <c r="A322" s="587"/>
      <c r="B322" s="1847" t="s">
        <v>518</v>
      </c>
      <c r="C322" s="1847"/>
      <c r="D322" s="1847"/>
      <c r="E322" s="1847"/>
      <c r="F322" s="1847"/>
      <c r="G322" s="1847"/>
      <c r="H322" s="1847"/>
      <c r="I322" s="1847"/>
      <c r="J322" s="1847"/>
      <c r="K322" s="1847"/>
      <c r="L322" s="1847"/>
      <c r="M322" s="1847"/>
      <c r="N322" s="1848"/>
    </row>
    <row r="323" spans="1:14" ht="30" customHeight="1">
      <c r="A323" s="587"/>
      <c r="B323" s="588"/>
      <c r="C323" s="1832" t="s">
        <v>53</v>
      </c>
      <c r="D323" s="585">
        <v>1</v>
      </c>
      <c r="E323" s="537">
        <v>1911050.7875000001</v>
      </c>
      <c r="F323" s="537">
        <v>0</v>
      </c>
      <c r="G323" s="537">
        <v>4829.1235416666668</v>
      </c>
      <c r="H323" s="537">
        <v>21665.880000000005</v>
      </c>
      <c r="I323" s="537">
        <v>15169.32704</v>
      </c>
      <c r="J323" s="537">
        <v>31615.776000000002</v>
      </c>
      <c r="K323" s="537">
        <v>1984330.8940816666</v>
      </c>
      <c r="L323" s="537">
        <v>297649.63411225</v>
      </c>
      <c r="M323" s="537">
        <v>2281980.5281939167</v>
      </c>
      <c r="N323" s="538">
        <v>68689.150000000009</v>
      </c>
    </row>
    <row r="324" spans="1:14" ht="30" customHeight="1">
      <c r="A324" s="587"/>
      <c r="B324" s="588"/>
      <c r="C324" s="1832"/>
      <c r="D324" s="585" t="s">
        <v>34</v>
      </c>
      <c r="E324" s="537">
        <v>1960616.2124999999</v>
      </c>
      <c r="F324" s="537">
        <v>0</v>
      </c>
      <c r="G324" s="537">
        <v>4829.1235416666668</v>
      </c>
      <c r="H324" s="537">
        <v>21665.880000000005</v>
      </c>
      <c r="I324" s="537">
        <v>15169.32704</v>
      </c>
      <c r="J324" s="537">
        <v>31615.776000000002</v>
      </c>
      <c r="K324" s="537">
        <v>2033896.3190816664</v>
      </c>
      <c r="L324" s="537">
        <v>305084.44786224997</v>
      </c>
      <c r="M324" s="537">
        <v>2338980.7669439162</v>
      </c>
      <c r="N324" s="538">
        <v>70437.650000000009</v>
      </c>
    </row>
    <row r="325" spans="1:14" ht="30" customHeight="1">
      <c r="A325" s="587"/>
      <c r="B325" s="588"/>
      <c r="C325" s="1832"/>
      <c r="D325" s="585" t="s">
        <v>35</v>
      </c>
      <c r="E325" s="537">
        <v>2015138.1800000002</v>
      </c>
      <c r="F325" s="537">
        <v>0</v>
      </c>
      <c r="G325" s="537">
        <v>4829.1235416666668</v>
      </c>
      <c r="H325" s="537">
        <v>21665.880000000005</v>
      </c>
      <c r="I325" s="537">
        <v>15169.32704</v>
      </c>
      <c r="J325" s="537">
        <v>31615.776000000002</v>
      </c>
      <c r="K325" s="537">
        <v>2088418.2865816667</v>
      </c>
      <c r="L325" s="537">
        <v>313262.74298724998</v>
      </c>
      <c r="M325" s="537">
        <v>2401681.0295689167</v>
      </c>
      <c r="N325" s="538">
        <v>72361.000000000015</v>
      </c>
    </row>
    <row r="326" spans="1:14" ht="30" customHeight="1">
      <c r="A326" s="587"/>
      <c r="B326" s="588"/>
      <c r="C326" s="1832"/>
      <c r="D326" s="585" t="s">
        <v>158</v>
      </c>
      <c r="E326" s="537">
        <v>2074997.9625000001</v>
      </c>
      <c r="F326" s="537">
        <v>0</v>
      </c>
      <c r="G326" s="537">
        <v>4829.1235416666668</v>
      </c>
      <c r="H326" s="537">
        <v>21665.880000000005</v>
      </c>
      <c r="I326" s="537">
        <v>15169.32704</v>
      </c>
      <c r="J326" s="537">
        <v>31615.776000000002</v>
      </c>
      <c r="K326" s="537">
        <v>2148278.0690816669</v>
      </c>
      <c r="L326" s="537">
        <v>322241.71036225004</v>
      </c>
      <c r="M326" s="537">
        <v>2470519.7794439169</v>
      </c>
      <c r="N326" s="538">
        <v>74472.650000000009</v>
      </c>
    </row>
    <row r="327" spans="1:14" ht="30" customHeight="1">
      <c r="A327" s="587"/>
      <c r="B327" s="588"/>
      <c r="C327" s="1832"/>
      <c r="D327" s="585" t="s">
        <v>159</v>
      </c>
      <c r="E327" s="537">
        <v>2139814.2874999996</v>
      </c>
      <c r="F327" s="537">
        <v>0</v>
      </c>
      <c r="G327" s="537">
        <v>4829.1235416666668</v>
      </c>
      <c r="H327" s="537">
        <v>21665.880000000005</v>
      </c>
      <c r="I327" s="537">
        <v>15169.32704</v>
      </c>
      <c r="J327" s="537">
        <v>31615.776000000002</v>
      </c>
      <c r="K327" s="537">
        <v>2213094.3940816661</v>
      </c>
      <c r="L327" s="537">
        <v>331964.15911224991</v>
      </c>
      <c r="M327" s="537">
        <v>2545058.5531939161</v>
      </c>
      <c r="N327" s="538">
        <v>76759.150000000009</v>
      </c>
    </row>
    <row r="328" spans="1:14" ht="30" customHeight="1">
      <c r="A328" s="1833" t="s">
        <v>129</v>
      </c>
      <c r="B328" s="1834" t="s">
        <v>196</v>
      </c>
      <c r="C328" s="1835" t="s">
        <v>53</v>
      </c>
      <c r="D328" s="540">
        <v>1</v>
      </c>
      <c r="E328" s="542">
        <v>1875541.9375</v>
      </c>
      <c r="F328" s="542"/>
      <c r="G328" s="542">
        <v>4803.7317708333339</v>
      </c>
      <c r="H328" s="542">
        <v>21201.480000000003</v>
      </c>
      <c r="I328" s="542">
        <v>15169.32704</v>
      </c>
      <c r="J328" s="542">
        <v>31592.22</v>
      </c>
      <c r="K328" s="542">
        <v>1948308.6963108331</v>
      </c>
      <c r="L328" s="542">
        <v>292246.30444662494</v>
      </c>
      <c r="M328" s="542">
        <v>2240555.0007574582</v>
      </c>
      <c r="N328" s="543">
        <v>67465.200000000012</v>
      </c>
    </row>
    <row r="329" spans="1:14" ht="30" customHeight="1">
      <c r="A329" s="1833"/>
      <c r="B329" s="1834"/>
      <c r="C329" s="1835"/>
      <c r="D329" s="540">
        <v>2</v>
      </c>
      <c r="E329" s="542">
        <v>1925107.3624999998</v>
      </c>
      <c r="F329" s="542"/>
      <c r="G329" s="542">
        <v>4803.7317708333339</v>
      </c>
      <c r="H329" s="542">
        <v>21201.480000000003</v>
      </c>
      <c r="I329" s="542">
        <v>15169.32704</v>
      </c>
      <c r="J329" s="542">
        <v>31592.22</v>
      </c>
      <c r="K329" s="542">
        <v>1997874.1213108329</v>
      </c>
      <c r="L329" s="542">
        <v>299681.11819662491</v>
      </c>
      <c r="M329" s="542">
        <v>2297555.2395074577</v>
      </c>
      <c r="N329" s="543">
        <v>69213.700000000012</v>
      </c>
    </row>
    <row r="330" spans="1:14" ht="30" customHeight="1">
      <c r="A330" s="1833"/>
      <c r="B330" s="1834"/>
      <c r="C330" s="1835"/>
      <c r="D330" s="540">
        <v>3</v>
      </c>
      <c r="E330" s="542">
        <v>1979629.33</v>
      </c>
      <c r="F330" s="542"/>
      <c r="G330" s="542">
        <v>4803.7317708333339</v>
      </c>
      <c r="H330" s="542">
        <v>21201.480000000003</v>
      </c>
      <c r="I330" s="542">
        <v>15169.32704</v>
      </c>
      <c r="J330" s="542">
        <v>31592.22</v>
      </c>
      <c r="K330" s="542">
        <v>2052396.0888108332</v>
      </c>
      <c r="L330" s="542">
        <v>307859.41332162498</v>
      </c>
      <c r="M330" s="542">
        <v>2360255.5021324581</v>
      </c>
      <c r="N330" s="543">
        <v>71137.050000000017</v>
      </c>
    </row>
    <row r="331" spans="1:14" ht="30" customHeight="1">
      <c r="A331" s="1833"/>
      <c r="B331" s="1834"/>
      <c r="C331" s="1835"/>
      <c r="D331" s="540">
        <v>4</v>
      </c>
      <c r="E331" s="542">
        <v>2039489.1125</v>
      </c>
      <c r="F331" s="542"/>
      <c r="G331" s="542">
        <v>4803.7317708333339</v>
      </c>
      <c r="H331" s="542">
        <v>21201.480000000003</v>
      </c>
      <c r="I331" s="542">
        <v>15169.32704</v>
      </c>
      <c r="J331" s="542">
        <v>31592.22</v>
      </c>
      <c r="K331" s="542">
        <v>2112255.8713108334</v>
      </c>
      <c r="L331" s="542">
        <v>316838.38069662498</v>
      </c>
      <c r="M331" s="542">
        <v>2429094.2520074584</v>
      </c>
      <c r="N331" s="543">
        <v>73248.700000000012</v>
      </c>
    </row>
    <row r="332" spans="1:14" ht="30" customHeight="1">
      <c r="A332" s="1833"/>
      <c r="B332" s="1834"/>
      <c r="C332" s="1835"/>
      <c r="D332" s="540">
        <v>5</v>
      </c>
      <c r="E332" s="542">
        <v>2104305.4375</v>
      </c>
      <c r="F332" s="542"/>
      <c r="G332" s="542">
        <v>4803.7317708333339</v>
      </c>
      <c r="H332" s="542">
        <v>21201.480000000003</v>
      </c>
      <c r="I332" s="542">
        <v>15169.32704</v>
      </c>
      <c r="J332" s="542">
        <v>31592.22</v>
      </c>
      <c r="K332" s="542">
        <v>2177072.1963108336</v>
      </c>
      <c r="L332" s="542">
        <v>326560.82944662502</v>
      </c>
      <c r="M332" s="542">
        <v>2503633.0257574585</v>
      </c>
      <c r="N332" s="543">
        <v>75535.200000000012</v>
      </c>
    </row>
    <row r="333" spans="1:14" ht="80.099999999999994" customHeight="1">
      <c r="A333" s="546" t="s">
        <v>220</v>
      </c>
      <c r="B333" s="559" t="s">
        <v>221</v>
      </c>
      <c r="C333" s="548">
        <v>0</v>
      </c>
      <c r="D333" s="548">
        <v>0</v>
      </c>
      <c r="E333" s="550">
        <v>0</v>
      </c>
      <c r="F333" s="550"/>
      <c r="G333" s="550"/>
      <c r="H333" s="550"/>
      <c r="I333" s="550"/>
      <c r="J333" s="550"/>
      <c r="K333" s="550">
        <v>0</v>
      </c>
      <c r="L333" s="550">
        <v>0</v>
      </c>
      <c r="M333" s="550">
        <v>0</v>
      </c>
      <c r="N333" s="551">
        <v>0</v>
      </c>
    </row>
    <row r="334" spans="1:14" ht="30" customHeight="1">
      <c r="A334" s="553" t="s">
        <v>222</v>
      </c>
      <c r="B334" s="574" t="s">
        <v>168</v>
      </c>
      <c r="C334" s="555" t="s">
        <v>1</v>
      </c>
      <c r="D334" s="555" t="s">
        <v>204</v>
      </c>
      <c r="E334" s="556">
        <v>18021.25</v>
      </c>
      <c r="F334" s="556"/>
      <c r="G334" s="556"/>
      <c r="H334" s="556"/>
      <c r="I334" s="556"/>
      <c r="J334" s="556"/>
      <c r="K334" s="556">
        <v>18021.25</v>
      </c>
      <c r="L334" s="556">
        <v>2703.1875</v>
      </c>
      <c r="M334" s="556">
        <v>20724.4375</v>
      </c>
      <c r="N334" s="557">
        <v>672.5</v>
      </c>
    </row>
    <row r="335" spans="1:14" ht="30" customHeight="1">
      <c r="A335" s="553" t="s">
        <v>223</v>
      </c>
      <c r="B335" s="574" t="s">
        <v>169</v>
      </c>
      <c r="C335" s="555" t="s">
        <v>1</v>
      </c>
      <c r="D335" s="555" t="s">
        <v>204</v>
      </c>
      <c r="E335" s="556">
        <v>36042.5</v>
      </c>
      <c r="F335" s="556"/>
      <c r="G335" s="556"/>
      <c r="H335" s="556"/>
      <c r="I335" s="556"/>
      <c r="J335" s="556"/>
      <c r="K335" s="556">
        <v>36042.5</v>
      </c>
      <c r="L335" s="556">
        <v>5406.375</v>
      </c>
      <c r="M335" s="556">
        <v>41448.875</v>
      </c>
      <c r="N335" s="557">
        <v>1345</v>
      </c>
    </row>
    <row r="336" spans="1:14" ht="40.5" customHeight="1">
      <c r="A336" s="539" t="s">
        <v>130</v>
      </c>
      <c r="B336" s="545" t="s">
        <v>166</v>
      </c>
      <c r="C336" s="540">
        <v>0</v>
      </c>
      <c r="D336" s="540">
        <v>0</v>
      </c>
      <c r="E336" s="542">
        <v>26137.8</v>
      </c>
      <c r="F336" s="542"/>
      <c r="G336" s="542"/>
      <c r="H336" s="542"/>
      <c r="I336" s="542"/>
      <c r="J336" s="542"/>
      <c r="K336" s="589">
        <v>26137.8</v>
      </c>
      <c r="L336" s="589">
        <v>3920.6699999999996</v>
      </c>
      <c r="M336" s="589">
        <v>30058.469999999998</v>
      </c>
      <c r="N336" s="590">
        <v>874.25</v>
      </c>
    </row>
    <row r="337" spans="1:14" ht="39.75" customHeight="1">
      <c r="A337" s="539" t="s">
        <v>131</v>
      </c>
      <c r="B337" s="545" t="s">
        <v>140</v>
      </c>
      <c r="C337" s="540">
        <v>0</v>
      </c>
      <c r="D337" s="540">
        <v>0</v>
      </c>
      <c r="E337" s="542">
        <v>9371.0499999999993</v>
      </c>
      <c r="F337" s="542"/>
      <c r="G337" s="542">
        <v>25.391770833333336</v>
      </c>
      <c r="H337" s="542">
        <v>464.40000000000003</v>
      </c>
      <c r="I337" s="542">
        <v>0</v>
      </c>
      <c r="J337" s="542">
        <v>23.555999999999997</v>
      </c>
      <c r="K337" s="589">
        <v>9884.3977708333332</v>
      </c>
      <c r="L337" s="589">
        <v>1482.6596656249999</v>
      </c>
      <c r="M337" s="589">
        <v>11367.057436458334</v>
      </c>
      <c r="N337" s="590">
        <v>349.7</v>
      </c>
    </row>
    <row r="338" spans="1:14" ht="30" customHeight="1">
      <c r="A338" s="578" t="s">
        <v>132</v>
      </c>
      <c r="B338" s="579" t="s">
        <v>258</v>
      </c>
      <c r="C338" s="569">
        <v>0</v>
      </c>
      <c r="D338" s="569">
        <v>0</v>
      </c>
      <c r="E338" s="570">
        <v>0</v>
      </c>
      <c r="F338" s="570"/>
      <c r="G338" s="570"/>
      <c r="H338" s="570"/>
      <c r="I338" s="570"/>
      <c r="J338" s="570"/>
      <c r="K338" s="586">
        <v>0</v>
      </c>
      <c r="L338" s="586">
        <v>0</v>
      </c>
      <c r="M338" s="586">
        <v>0</v>
      </c>
      <c r="N338" s="591">
        <v>0</v>
      </c>
    </row>
    <row r="339" spans="1:14" ht="30" customHeight="1">
      <c r="A339" s="1842" t="s">
        <v>34</v>
      </c>
      <c r="B339" s="1813" t="s">
        <v>265</v>
      </c>
      <c r="C339" s="1845" t="s">
        <v>53</v>
      </c>
      <c r="D339" s="548">
        <v>1</v>
      </c>
      <c r="E339" s="550">
        <v>955525.39375000005</v>
      </c>
      <c r="F339" s="550">
        <v>0</v>
      </c>
      <c r="G339" s="550">
        <v>2414.5617708333334</v>
      </c>
      <c r="H339" s="550">
        <v>10832.940000000002</v>
      </c>
      <c r="I339" s="550">
        <v>7584.6635200000001</v>
      </c>
      <c r="J339" s="550">
        <v>15807.888000000001</v>
      </c>
      <c r="K339" s="547">
        <v>992165.4470408333</v>
      </c>
      <c r="L339" s="547">
        <v>148824.817056125</v>
      </c>
      <c r="M339" s="547">
        <v>1140990.2640969583</v>
      </c>
      <c r="N339" s="592">
        <v>34344.575000000004</v>
      </c>
    </row>
    <row r="340" spans="1:14" ht="30" customHeight="1">
      <c r="A340" s="1842"/>
      <c r="B340" s="1813"/>
      <c r="C340" s="1845"/>
      <c r="D340" s="548" t="s">
        <v>34</v>
      </c>
      <c r="E340" s="550">
        <v>980308.10624999995</v>
      </c>
      <c r="F340" s="550">
        <v>0</v>
      </c>
      <c r="G340" s="550">
        <v>2414.5617708333334</v>
      </c>
      <c r="H340" s="550">
        <v>10832.940000000002</v>
      </c>
      <c r="I340" s="550">
        <v>7584.6635200000001</v>
      </c>
      <c r="J340" s="550">
        <v>15807.888000000001</v>
      </c>
      <c r="K340" s="547">
        <v>1016948.1595408332</v>
      </c>
      <c r="L340" s="547">
        <v>152542.22393112499</v>
      </c>
      <c r="M340" s="547">
        <v>1169490.3834719581</v>
      </c>
      <c r="N340" s="592">
        <v>35218.825000000004</v>
      </c>
    </row>
    <row r="341" spans="1:14" ht="30" customHeight="1">
      <c r="A341" s="1842"/>
      <c r="B341" s="1813"/>
      <c r="C341" s="1845"/>
      <c r="D341" s="548" t="s">
        <v>35</v>
      </c>
      <c r="E341" s="550">
        <v>1007569.0900000001</v>
      </c>
      <c r="F341" s="550">
        <v>0</v>
      </c>
      <c r="G341" s="550">
        <v>2414.5617708333334</v>
      </c>
      <c r="H341" s="550">
        <v>10832.940000000002</v>
      </c>
      <c r="I341" s="550">
        <v>7584.6635200000001</v>
      </c>
      <c r="J341" s="550">
        <v>15807.888000000001</v>
      </c>
      <c r="K341" s="547">
        <v>1044209.1432908333</v>
      </c>
      <c r="L341" s="547">
        <v>156631.37149362499</v>
      </c>
      <c r="M341" s="547">
        <v>1200840.5147844583</v>
      </c>
      <c r="N341" s="592">
        <v>36180.500000000007</v>
      </c>
    </row>
    <row r="342" spans="1:14" ht="30" customHeight="1">
      <c r="A342" s="1842"/>
      <c r="B342" s="1813"/>
      <c r="C342" s="1845"/>
      <c r="D342" s="548" t="s">
        <v>158</v>
      </c>
      <c r="E342" s="550">
        <v>1037498.9812500001</v>
      </c>
      <c r="F342" s="550">
        <v>0</v>
      </c>
      <c r="G342" s="550">
        <v>2414.5617708333334</v>
      </c>
      <c r="H342" s="550">
        <v>10832.940000000002</v>
      </c>
      <c r="I342" s="550">
        <v>7584.6635200000001</v>
      </c>
      <c r="J342" s="550">
        <v>15807.888000000001</v>
      </c>
      <c r="K342" s="547">
        <v>1074139.0345408334</v>
      </c>
      <c r="L342" s="547">
        <v>161120.85518112502</v>
      </c>
      <c r="M342" s="547">
        <v>1235259.8897219584</v>
      </c>
      <c r="N342" s="592">
        <v>37236.325000000004</v>
      </c>
    </row>
    <row r="343" spans="1:14" ht="30" customHeight="1">
      <c r="A343" s="1842"/>
      <c r="B343" s="1813"/>
      <c r="C343" s="1845"/>
      <c r="D343" s="548" t="s">
        <v>159</v>
      </c>
      <c r="E343" s="550">
        <v>1069907.1437499998</v>
      </c>
      <c r="F343" s="550">
        <v>0</v>
      </c>
      <c r="G343" s="550">
        <v>2414.5617708333334</v>
      </c>
      <c r="H343" s="550">
        <v>10832.940000000002</v>
      </c>
      <c r="I343" s="550">
        <v>7584.6635200000001</v>
      </c>
      <c r="J343" s="550">
        <v>15807.888000000001</v>
      </c>
      <c r="K343" s="547">
        <v>1106547.1970408331</v>
      </c>
      <c r="L343" s="547">
        <v>165982.07955612495</v>
      </c>
      <c r="M343" s="547">
        <v>1272529.2765969581</v>
      </c>
      <c r="N343" s="592">
        <v>38379.575000000004</v>
      </c>
    </row>
    <row r="344" spans="1:14" ht="30" customHeight="1">
      <c r="A344" s="1844" t="s">
        <v>35</v>
      </c>
      <c r="B344" s="1839" t="s">
        <v>266</v>
      </c>
      <c r="C344" s="1836" t="s">
        <v>53</v>
      </c>
      <c r="D344" s="548"/>
      <c r="E344" s="550">
        <v>1719945.7087500002</v>
      </c>
      <c r="F344" s="550">
        <v>0</v>
      </c>
      <c r="G344" s="550">
        <v>4346.2111875000001</v>
      </c>
      <c r="H344" s="550">
        <v>19499.292000000005</v>
      </c>
      <c r="I344" s="550">
        <v>13652.394336000001</v>
      </c>
      <c r="J344" s="550">
        <v>28454.198400000001</v>
      </c>
      <c r="K344" s="547">
        <v>1785897.8046735004</v>
      </c>
      <c r="L344" s="547">
        <v>267884.67070102505</v>
      </c>
      <c r="M344" s="547">
        <v>2053782.4753745254</v>
      </c>
      <c r="N344" s="592">
        <v>61820.235000000008</v>
      </c>
    </row>
    <row r="345" spans="1:14" ht="30" customHeight="1">
      <c r="A345" s="1844"/>
      <c r="B345" s="1839"/>
      <c r="C345" s="1836"/>
      <c r="D345" s="548"/>
      <c r="E345" s="550">
        <v>1764554.5912500001</v>
      </c>
      <c r="F345" s="550">
        <v>0</v>
      </c>
      <c r="G345" s="550">
        <v>4346.2111875000001</v>
      </c>
      <c r="H345" s="550">
        <v>19499.292000000005</v>
      </c>
      <c r="I345" s="550">
        <v>13652.394336000001</v>
      </c>
      <c r="J345" s="550">
        <v>28454.198400000001</v>
      </c>
      <c r="K345" s="547">
        <v>1830506.6871735002</v>
      </c>
      <c r="L345" s="547">
        <v>274576.00307602499</v>
      </c>
      <c r="M345" s="547">
        <v>2105082.690249525</v>
      </c>
      <c r="N345" s="592">
        <v>63393.885000000009</v>
      </c>
    </row>
    <row r="346" spans="1:14" ht="30" customHeight="1">
      <c r="A346" s="1844"/>
      <c r="B346" s="1839"/>
      <c r="C346" s="1836"/>
      <c r="D346" s="548"/>
      <c r="E346" s="550">
        <v>1813624.3620000002</v>
      </c>
      <c r="F346" s="550">
        <v>0</v>
      </c>
      <c r="G346" s="550">
        <v>4346.2111875000001</v>
      </c>
      <c r="H346" s="550">
        <v>19499.292000000005</v>
      </c>
      <c r="I346" s="550">
        <v>13652.394336000001</v>
      </c>
      <c r="J346" s="550">
        <v>28454.198400000001</v>
      </c>
      <c r="K346" s="547">
        <v>1879576.4579235003</v>
      </c>
      <c r="L346" s="547">
        <v>281936.46868852503</v>
      </c>
      <c r="M346" s="547">
        <v>2161512.9266120251</v>
      </c>
      <c r="N346" s="592">
        <v>65124.900000000016</v>
      </c>
    </row>
    <row r="347" spans="1:14" ht="30" customHeight="1">
      <c r="A347" s="1844"/>
      <c r="B347" s="1839"/>
      <c r="C347" s="1836"/>
      <c r="D347" s="548"/>
      <c r="E347" s="550">
        <v>1867498.1662500002</v>
      </c>
      <c r="F347" s="550">
        <v>0</v>
      </c>
      <c r="G347" s="550">
        <v>4346.2111875000001</v>
      </c>
      <c r="H347" s="550">
        <v>19499.292000000005</v>
      </c>
      <c r="I347" s="550">
        <v>13652.394336000001</v>
      </c>
      <c r="J347" s="550">
        <v>28454.198400000001</v>
      </c>
      <c r="K347" s="547">
        <v>1933450.2621735004</v>
      </c>
      <c r="L347" s="547">
        <v>290017.53932602506</v>
      </c>
      <c r="M347" s="547">
        <v>2223467.8014995256</v>
      </c>
      <c r="N347" s="592">
        <v>67025.385000000009</v>
      </c>
    </row>
    <row r="348" spans="1:14" ht="30" customHeight="1">
      <c r="A348" s="1844"/>
      <c r="B348" s="1839"/>
      <c r="C348" s="1836"/>
      <c r="D348" s="548"/>
      <c r="E348" s="550">
        <v>1925832.8587499997</v>
      </c>
      <c r="F348" s="550">
        <v>0</v>
      </c>
      <c r="G348" s="550">
        <v>4346.2111875000001</v>
      </c>
      <c r="H348" s="550">
        <v>19499.292000000005</v>
      </c>
      <c r="I348" s="550">
        <v>13652.394336000001</v>
      </c>
      <c r="J348" s="550">
        <v>28454.198400000001</v>
      </c>
      <c r="K348" s="547">
        <v>1991784.9546734998</v>
      </c>
      <c r="L348" s="547">
        <v>298767.74320102495</v>
      </c>
      <c r="M348" s="547">
        <v>2290552.6978745246</v>
      </c>
      <c r="N348" s="592">
        <v>69083.235000000015</v>
      </c>
    </row>
    <row r="349" spans="1:14" ht="30" customHeight="1">
      <c r="A349" s="1844" t="s">
        <v>158</v>
      </c>
      <c r="B349" s="1839" t="s">
        <v>267</v>
      </c>
      <c r="C349" s="1836" t="s">
        <v>53</v>
      </c>
      <c r="D349" s="548"/>
      <c r="E349" s="550">
        <v>919742.28750000009</v>
      </c>
      <c r="F349" s="550">
        <v>0</v>
      </c>
      <c r="G349" s="550">
        <v>4829.1235416666668</v>
      </c>
      <c r="H349" s="550">
        <v>21665.880000000005</v>
      </c>
      <c r="I349" s="550">
        <v>15169.32704</v>
      </c>
      <c r="J349" s="550">
        <v>31615.776000000002</v>
      </c>
      <c r="K349" s="547">
        <v>993022.39408166672</v>
      </c>
      <c r="L349" s="547">
        <v>148953.35911225001</v>
      </c>
      <c r="M349" s="547">
        <v>1141975.7531939168</v>
      </c>
      <c r="N349" s="592">
        <v>33719.150000000009</v>
      </c>
    </row>
    <row r="350" spans="1:14" ht="30" customHeight="1">
      <c r="A350" s="1844"/>
      <c r="B350" s="1839"/>
      <c r="C350" s="1836"/>
      <c r="D350" s="548"/>
      <c r="E350" s="550">
        <v>919742.28749999998</v>
      </c>
      <c r="F350" s="550">
        <v>0</v>
      </c>
      <c r="G350" s="550">
        <v>4829.1235416666668</v>
      </c>
      <c r="H350" s="550">
        <v>21665.880000000005</v>
      </c>
      <c r="I350" s="550">
        <v>15169.32704</v>
      </c>
      <c r="J350" s="550">
        <v>31615.776000000002</v>
      </c>
      <c r="K350" s="547">
        <v>993022.3940816666</v>
      </c>
      <c r="L350" s="547">
        <v>148953.35911224998</v>
      </c>
      <c r="M350" s="547">
        <v>1141975.7531939165</v>
      </c>
      <c r="N350" s="592">
        <v>33719.150000000009</v>
      </c>
    </row>
    <row r="351" spans="1:14" ht="30" customHeight="1">
      <c r="A351" s="1844"/>
      <c r="B351" s="1839"/>
      <c r="C351" s="1836"/>
      <c r="D351" s="548"/>
      <c r="E351" s="550">
        <v>919742.28750000021</v>
      </c>
      <c r="F351" s="550">
        <v>0</v>
      </c>
      <c r="G351" s="550">
        <v>4829.1235416666668</v>
      </c>
      <c r="H351" s="550">
        <v>21665.880000000005</v>
      </c>
      <c r="I351" s="550">
        <v>15169.32704</v>
      </c>
      <c r="J351" s="550">
        <v>31615.776000000002</v>
      </c>
      <c r="K351" s="547">
        <v>993022.39408166683</v>
      </c>
      <c r="L351" s="547">
        <v>148953.35911225001</v>
      </c>
      <c r="M351" s="547">
        <v>1141975.7531939168</v>
      </c>
      <c r="N351" s="592">
        <v>33719.150000000016</v>
      </c>
    </row>
    <row r="352" spans="1:14" ht="30" customHeight="1">
      <c r="A352" s="1844"/>
      <c r="B352" s="1839"/>
      <c r="C352" s="1836"/>
      <c r="D352" s="548"/>
      <c r="E352" s="550">
        <v>919742.28750000009</v>
      </c>
      <c r="F352" s="550">
        <v>0</v>
      </c>
      <c r="G352" s="550">
        <v>4829.1235416666668</v>
      </c>
      <c r="H352" s="550">
        <v>21665.880000000005</v>
      </c>
      <c r="I352" s="550">
        <v>15169.32704</v>
      </c>
      <c r="J352" s="550">
        <v>31615.776000000002</v>
      </c>
      <c r="K352" s="547">
        <v>993022.39408166672</v>
      </c>
      <c r="L352" s="547">
        <v>148953.35911225001</v>
      </c>
      <c r="M352" s="547">
        <v>1141975.7531939168</v>
      </c>
      <c r="N352" s="592">
        <v>33719.150000000009</v>
      </c>
    </row>
    <row r="353" spans="1:14" ht="30" customHeight="1">
      <c r="A353" s="1844"/>
      <c r="B353" s="1839"/>
      <c r="C353" s="1836"/>
      <c r="D353" s="548"/>
      <c r="E353" s="550">
        <v>919742.28749999963</v>
      </c>
      <c r="F353" s="550">
        <v>0</v>
      </c>
      <c r="G353" s="550">
        <v>4829.1235416666668</v>
      </c>
      <c r="H353" s="550">
        <v>21665.880000000005</v>
      </c>
      <c r="I353" s="550">
        <v>15169.32704</v>
      </c>
      <c r="J353" s="550">
        <v>31615.776000000002</v>
      </c>
      <c r="K353" s="547">
        <v>993022.39408166625</v>
      </c>
      <c r="L353" s="547">
        <v>148953.35911224992</v>
      </c>
      <c r="M353" s="547">
        <v>1141975.7531939163</v>
      </c>
      <c r="N353" s="592">
        <v>33719.150000000009</v>
      </c>
    </row>
    <row r="354" spans="1:14" s="534" customFormat="1" ht="30" customHeight="1">
      <c r="A354" s="1830" t="s">
        <v>111</v>
      </c>
      <c r="B354" s="1831" t="s">
        <v>575</v>
      </c>
      <c r="C354" s="1832" t="s">
        <v>53</v>
      </c>
      <c r="D354" s="585">
        <v>1</v>
      </c>
      <c r="E354" s="537" t="e">
        <f t="shared" ref="E354:J356" si="51">E357+E$360+E$371</f>
        <v>#REF!</v>
      </c>
      <c r="F354" s="537">
        <f t="shared" si="51"/>
        <v>409.32692307692309</v>
      </c>
      <c r="G354" s="537">
        <f t="shared" si="51"/>
        <v>6451.4626774153849</v>
      </c>
      <c r="H354" s="537">
        <f t="shared" si="51"/>
        <v>32760.74</v>
      </c>
      <c r="I354" s="537" t="e">
        <f t="shared" si="51"/>
        <v>#REF!</v>
      </c>
      <c r="J354" s="537" t="e">
        <f t="shared" si="51"/>
        <v>#REF!</v>
      </c>
      <c r="K354" s="537" t="e">
        <f t="shared" ref="K354:K387" si="52">SUM(E354:J354)</f>
        <v>#REF!</v>
      </c>
      <c r="L354" s="537" t="e">
        <f t="shared" ref="L354:L387" si="53">$L$4*K354</f>
        <v>#REF!</v>
      </c>
      <c r="M354" s="537" t="e">
        <f t="shared" ref="M354:M387" si="54">K354+L354</f>
        <v>#REF!</v>
      </c>
      <c r="N354" s="538" t="e">
        <f>N357+N$360+N$371</f>
        <v>#REF!</v>
      </c>
    </row>
    <row r="355" spans="1:14" s="534" customFormat="1" ht="30" customHeight="1">
      <c r="A355" s="1830"/>
      <c r="B355" s="1831"/>
      <c r="C355" s="1832"/>
      <c r="D355" s="585">
        <v>2</v>
      </c>
      <c r="E355" s="537" t="e">
        <f t="shared" si="51"/>
        <v>#REF!</v>
      </c>
      <c r="F355" s="537">
        <f t="shared" si="51"/>
        <v>409.32692307692309</v>
      </c>
      <c r="G355" s="537">
        <f t="shared" si="51"/>
        <v>7066.4578848461542</v>
      </c>
      <c r="H355" s="537">
        <f t="shared" si="51"/>
        <v>32760.74</v>
      </c>
      <c r="I355" s="537" t="e">
        <f t="shared" si="51"/>
        <v>#REF!</v>
      </c>
      <c r="J355" s="537" t="e">
        <f t="shared" si="51"/>
        <v>#REF!</v>
      </c>
      <c r="K355" s="537" t="e">
        <f t="shared" si="52"/>
        <v>#REF!</v>
      </c>
      <c r="L355" s="537" t="e">
        <f t="shared" si="53"/>
        <v>#REF!</v>
      </c>
      <c r="M355" s="537" t="e">
        <f t="shared" si="54"/>
        <v>#REF!</v>
      </c>
      <c r="N355" s="538" t="e">
        <f>N358+N$360+N$371</f>
        <v>#REF!</v>
      </c>
    </row>
    <row r="356" spans="1:14" s="534" customFormat="1" ht="30" customHeight="1">
      <c r="A356" s="1830"/>
      <c r="B356" s="1831"/>
      <c r="C356" s="1832"/>
      <c r="D356" s="585">
        <v>3</v>
      </c>
      <c r="E356" s="537" t="e">
        <f t="shared" si="51"/>
        <v>#REF!</v>
      </c>
      <c r="F356" s="537">
        <f t="shared" si="51"/>
        <v>409.32692307692309</v>
      </c>
      <c r="G356" s="537">
        <f t="shared" si="51"/>
        <v>7681.4530922769245</v>
      </c>
      <c r="H356" s="537">
        <f t="shared" si="51"/>
        <v>32760.74</v>
      </c>
      <c r="I356" s="537" t="e">
        <f t="shared" si="51"/>
        <v>#REF!</v>
      </c>
      <c r="J356" s="537" t="e">
        <f t="shared" si="51"/>
        <v>#REF!</v>
      </c>
      <c r="K356" s="537" t="e">
        <f t="shared" si="52"/>
        <v>#REF!</v>
      </c>
      <c r="L356" s="537" t="e">
        <f t="shared" si="53"/>
        <v>#REF!</v>
      </c>
      <c r="M356" s="537" t="e">
        <f t="shared" si="54"/>
        <v>#REF!</v>
      </c>
      <c r="N356" s="538" t="e">
        <f>N359+N$360+N$371</f>
        <v>#REF!</v>
      </c>
    </row>
    <row r="357" spans="1:14" s="544" customFormat="1" ht="30" customHeight="1">
      <c r="A357" s="1833" t="str">
        <f>NCong!A230</f>
        <v>IV.1</v>
      </c>
      <c r="B357" s="1834" t="str">
        <f>NCong!B230</f>
        <v>CÁC NỘI DUNG THỰC HIỆN TẠI ĐỊA BÀN XÃ, PHƯỜNG</v>
      </c>
      <c r="C357" s="1835" t="s">
        <v>53</v>
      </c>
      <c r="D357" s="540">
        <f>NCong!F230</f>
        <v>1</v>
      </c>
      <c r="E357" s="542">
        <f>NCong!I230</f>
        <v>598419.22382307693</v>
      </c>
      <c r="F357" s="542">
        <f>NCong!I231</f>
        <v>409.32692307692309</v>
      </c>
      <c r="G357" s="542">
        <f>Dcu!J123</f>
        <v>5534.9568668769234</v>
      </c>
      <c r="H357" s="542">
        <f>VLieu!H$91</f>
        <v>22748.2</v>
      </c>
      <c r="I357" s="542" t="e">
        <f>Tbi!#REF!</f>
        <v>#REF!</v>
      </c>
      <c r="J357" s="542" t="e">
        <f>Tbi!#REF!+Dcu!J$119</f>
        <v>#REF!</v>
      </c>
      <c r="K357" s="542" t="e">
        <f t="shared" si="52"/>
        <v>#REF!</v>
      </c>
      <c r="L357" s="542" t="e">
        <f t="shared" si="53"/>
        <v>#REF!</v>
      </c>
      <c r="M357" s="542" t="e">
        <f t="shared" si="54"/>
        <v>#REF!</v>
      </c>
      <c r="N357" s="543">
        <f>NCong!J230</f>
        <v>865607.57887500001</v>
      </c>
    </row>
    <row r="358" spans="1:14" s="544" customFormat="1" ht="30" customHeight="1">
      <c r="A358" s="1833"/>
      <c r="B358" s="1834"/>
      <c r="C358" s="1835"/>
      <c r="D358" s="540">
        <f>NCong!F232</f>
        <v>2</v>
      </c>
      <c r="E358" s="542">
        <f>NCong!I232</f>
        <v>598419.22382307693</v>
      </c>
      <c r="F358" s="542">
        <f>NCong!I233</f>
        <v>409.32692307692309</v>
      </c>
      <c r="G358" s="542">
        <f>Dcu!J124</f>
        <v>6149.9520743076928</v>
      </c>
      <c r="H358" s="542">
        <f>VLieu!H$91</f>
        <v>22748.2</v>
      </c>
      <c r="I358" s="542" t="e">
        <f>Tbi!#REF!</f>
        <v>#REF!</v>
      </c>
      <c r="J358" s="542" t="e">
        <f>Tbi!#REF!+Dcu!J$119</f>
        <v>#REF!</v>
      </c>
      <c r="K358" s="542" t="e">
        <f t="shared" si="52"/>
        <v>#REF!</v>
      </c>
      <c r="L358" s="542" t="e">
        <f t="shared" si="53"/>
        <v>#REF!</v>
      </c>
      <c r="M358" s="542" t="e">
        <f t="shared" si="54"/>
        <v>#REF!</v>
      </c>
      <c r="N358" s="543">
        <f>NCong!J232</f>
        <v>865607.57887500001</v>
      </c>
    </row>
    <row r="359" spans="1:14" s="544" customFormat="1" ht="30" customHeight="1">
      <c r="A359" s="1833"/>
      <c r="B359" s="1834"/>
      <c r="C359" s="1835"/>
      <c r="D359" s="540">
        <f>NCong!F234</f>
        <v>3</v>
      </c>
      <c r="E359" s="542">
        <f>NCong!I234</f>
        <v>598419.22382307693</v>
      </c>
      <c r="F359" s="542">
        <f>NCong!I235</f>
        <v>409.32692307692309</v>
      </c>
      <c r="G359" s="542">
        <f>Dcu!J125</f>
        <v>6764.9472817384631</v>
      </c>
      <c r="H359" s="542">
        <f>VLieu!H$91</f>
        <v>22748.2</v>
      </c>
      <c r="I359" s="542" t="e">
        <f>Tbi!#REF!</f>
        <v>#REF!</v>
      </c>
      <c r="J359" s="542" t="e">
        <f>Tbi!#REF!+Dcu!J$119</f>
        <v>#REF!</v>
      </c>
      <c r="K359" s="542" t="e">
        <f t="shared" si="52"/>
        <v>#REF!</v>
      </c>
      <c r="L359" s="542" t="e">
        <f t="shared" si="53"/>
        <v>#REF!</v>
      </c>
      <c r="M359" s="542" t="e">
        <f t="shared" si="54"/>
        <v>#REF!</v>
      </c>
      <c r="N359" s="543">
        <f>NCong!J234</f>
        <v>865607.57887500001</v>
      </c>
    </row>
    <row r="360" spans="1:14" s="544" customFormat="1" ht="30" customHeight="1">
      <c r="A360" s="539" t="e">
        <f>NCong!#REF!</f>
        <v>#REF!</v>
      </c>
      <c r="B360" s="545" t="e">
        <f>NCong!#REF!</f>
        <v>#REF!</v>
      </c>
      <c r="C360" s="540" t="s">
        <v>53</v>
      </c>
      <c r="D360" s="540" t="e">
        <f>NCong!#REF!</f>
        <v>#REF!</v>
      </c>
      <c r="E360" s="589" t="e">
        <f>NCong!#REF!-E362-E364-E365</f>
        <v>#REF!</v>
      </c>
      <c r="F360" s="589"/>
      <c r="G360" s="589">
        <f>Dcu!K123</f>
        <v>0</v>
      </c>
      <c r="H360" s="589">
        <f>VLieu!I91</f>
        <v>0</v>
      </c>
      <c r="I360" s="589">
        <f>Tbi!I69</f>
        <v>6077.8453999999992</v>
      </c>
      <c r="J360" s="589">
        <f>Tbi!I77+Dcu!K$119</f>
        <v>6852.4396395000003</v>
      </c>
      <c r="K360" s="589" t="e">
        <f t="shared" si="52"/>
        <v>#REF!</v>
      </c>
      <c r="L360" s="589" t="e">
        <f t="shared" si="53"/>
        <v>#REF!</v>
      </c>
      <c r="M360" s="589" t="e">
        <f t="shared" si="54"/>
        <v>#REF!</v>
      </c>
      <c r="N360" s="590" t="e">
        <f>NCong!#REF!</f>
        <v>#REF!</v>
      </c>
    </row>
    <row r="361" spans="1:14" ht="30" customHeight="1">
      <c r="A361" s="546" t="str">
        <f>NCong!A259</f>
        <v>10.2</v>
      </c>
      <c r="B361" s="547" t="str">
        <f>NCong!B259</f>
        <v>Trích lục trên bản đồ dạng giấy</v>
      </c>
      <c r="C361" s="548" t="str">
        <f>NCong!C259</f>
        <v>Hồ sơ</v>
      </c>
      <c r="D361" s="572" t="str">
        <f>NCong!F259</f>
        <v>1-3</v>
      </c>
      <c r="E361" s="550">
        <f>NCong!I259</f>
        <v>14838.525000000001</v>
      </c>
      <c r="F361" s="550"/>
      <c r="G361" s="550"/>
      <c r="H361" s="550"/>
      <c r="I361" s="550"/>
      <c r="J361" s="550"/>
      <c r="K361" s="550">
        <f t="shared" si="52"/>
        <v>14838.525000000001</v>
      </c>
      <c r="L361" s="550">
        <f t="shared" si="53"/>
        <v>2225.7787499999999</v>
      </c>
      <c r="M361" s="550">
        <f t="shared" si="54"/>
        <v>17064.303750000003</v>
      </c>
      <c r="N361" s="551">
        <f>NCong!J259</f>
        <v>1278.2250000000001</v>
      </c>
    </row>
    <row r="362" spans="1:14" s="558" customFormat="1" ht="30" customHeight="1">
      <c r="A362" s="553" t="str">
        <f>NCong!A260</f>
        <v>11</v>
      </c>
      <c r="B362" s="554" t="str">
        <f>NCong!B260</f>
        <v>Lập và gửi Phiếu chuyển thông tin để xác định nghĩa vụ tài chính về đất đai (nếu có)</v>
      </c>
      <c r="C362" s="555">
        <f>NCong!C260</f>
        <v>0</v>
      </c>
      <c r="D362" s="549">
        <f>NCong!F260</f>
        <v>0</v>
      </c>
      <c r="E362" s="556">
        <f>NCong!I260</f>
        <v>0</v>
      </c>
      <c r="F362" s="556"/>
      <c r="G362" s="556"/>
      <c r="H362" s="556"/>
      <c r="I362" s="556"/>
      <c r="J362" s="556"/>
      <c r="K362" s="556">
        <f t="shared" si="52"/>
        <v>0</v>
      </c>
      <c r="L362" s="556">
        <f t="shared" si="53"/>
        <v>0</v>
      </c>
      <c r="M362" s="556">
        <f t="shared" si="54"/>
        <v>0</v>
      </c>
      <c r="N362" s="557">
        <f>NCong!J260</f>
        <v>0</v>
      </c>
    </row>
    <row r="363" spans="1:14" s="558" customFormat="1" ht="30" customHeight="1">
      <c r="A363" s="553" t="str">
        <f>NCong!A261</f>
        <v>11.1</v>
      </c>
      <c r="B363" s="554" t="str">
        <f>NCong!B261</f>
        <v>Chuyển, nhận thông tin theo hình thức liên thông</v>
      </c>
      <c r="C363" s="555" t="str">
        <f>NCong!C261</f>
        <v>Hồ sơ</v>
      </c>
      <c r="D363" s="549" t="str">
        <f>NCong!F261</f>
        <v>1-3</v>
      </c>
      <c r="E363" s="556">
        <f>NCong!I261</f>
        <v>10003.5</v>
      </c>
      <c r="F363" s="556"/>
      <c r="G363" s="556"/>
      <c r="H363" s="556"/>
      <c r="I363" s="556"/>
      <c r="J363" s="556"/>
      <c r="K363" s="556">
        <f t="shared" si="52"/>
        <v>10003.5</v>
      </c>
      <c r="L363" s="556">
        <f t="shared" si="53"/>
        <v>1500.5249999999999</v>
      </c>
      <c r="M363" s="556">
        <f t="shared" si="54"/>
        <v>11504.025</v>
      </c>
      <c r="N363" s="557">
        <f>NCong!J261</f>
        <v>766.93499999999995</v>
      </c>
    </row>
    <row r="364" spans="1:14" ht="30" customHeight="1">
      <c r="A364" s="546" t="str">
        <f>NCong!A269</f>
        <v>15.1</v>
      </c>
      <c r="B364" s="559" t="str">
        <f>NCong!B269</f>
        <v>Trực tiếp từ cơ sở dữ liệu dạng số</v>
      </c>
      <c r="C364" s="548" t="str">
        <f>NCong!C269</f>
        <v>GCN</v>
      </c>
      <c r="D364" s="548" t="str">
        <f>NCong!F269</f>
        <v>1-3</v>
      </c>
      <c r="E364" s="550">
        <f>NCong!I269</f>
        <v>14838.525000000001</v>
      </c>
      <c r="F364" s="550"/>
      <c r="G364" s="550"/>
      <c r="H364" s="550">
        <f>VLieu!I129</f>
        <v>0</v>
      </c>
      <c r="I364" s="550"/>
      <c r="J364" s="550"/>
      <c r="K364" s="550">
        <f t="shared" si="52"/>
        <v>14838.525000000001</v>
      </c>
      <c r="L364" s="550">
        <f t="shared" si="53"/>
        <v>2225.7787499999999</v>
      </c>
      <c r="M364" s="550">
        <f t="shared" si="54"/>
        <v>17064.303750000003</v>
      </c>
      <c r="N364" s="551">
        <f>NCong!J269</f>
        <v>1278.2250000000001</v>
      </c>
    </row>
    <row r="365" spans="1:14" s="566" customFormat="1" ht="30" customHeight="1">
      <c r="A365" s="560" t="str">
        <f>NCong!A278</f>
        <v>19.2</v>
      </c>
      <c r="B365" s="561" t="str">
        <f>NCong!B278</f>
        <v>Quét trang A4</v>
      </c>
      <c r="C365" s="562" t="str">
        <f>NCong!C278</f>
        <v>Trang</v>
      </c>
      <c r="D365" s="562"/>
      <c r="E365" s="564">
        <f>NCong!I278</f>
        <v>2080.7280000000001</v>
      </c>
      <c r="F365" s="564"/>
      <c r="G365" s="564"/>
      <c r="H365" s="564"/>
      <c r="I365" s="564"/>
      <c r="J365" s="564"/>
      <c r="K365" s="564">
        <f t="shared" si="52"/>
        <v>2080.7280000000001</v>
      </c>
      <c r="L365" s="564">
        <f t="shared" si="53"/>
        <v>312.10919999999999</v>
      </c>
      <c r="M365" s="564">
        <f t="shared" si="54"/>
        <v>2392.8371999999999</v>
      </c>
      <c r="N365" s="565">
        <f>NCong!J278</f>
        <v>204.51599999999999</v>
      </c>
    </row>
    <row r="366" spans="1:14" s="566" customFormat="1" ht="39.950000000000003" customHeight="1">
      <c r="A366" s="560" t="str">
        <f>NCong!A279</f>
        <v>20</v>
      </c>
      <c r="B366" s="561" t="str">
        <f>NCong!B279</f>
        <v>Xử lý các tệp tin quét thành tệp (File) hồ sơ quét dạng số của thửa đất, lưu trữ dưới khuôn dạng tệp tin PDF</v>
      </c>
      <c r="C366" s="562" t="str">
        <f>NCong!C279</f>
        <v>Trang</v>
      </c>
      <c r="D366" s="562"/>
      <c r="E366" s="564">
        <f>NCong!I279</f>
        <v>1040.364</v>
      </c>
      <c r="F366" s="564"/>
      <c r="G366" s="564"/>
      <c r="H366" s="564"/>
      <c r="I366" s="564"/>
      <c r="J366" s="564"/>
      <c r="K366" s="564">
        <f t="shared" si="52"/>
        <v>1040.364</v>
      </c>
      <c r="L366" s="564">
        <f t="shared" si="53"/>
        <v>156.05459999999999</v>
      </c>
      <c r="M366" s="564">
        <f t="shared" si="54"/>
        <v>1196.4186</v>
      </c>
      <c r="N366" s="565">
        <f>NCong!J279</f>
        <v>766.93500000000006</v>
      </c>
    </row>
    <row r="367" spans="1:14" s="566" customFormat="1" ht="30" customHeight="1">
      <c r="A367" s="560" t="str">
        <f>NCong!A280</f>
        <v>21</v>
      </c>
      <c r="B367" s="561" t="str">
        <f>NCong!B280</f>
        <v>Tạo liên kết hồ sơ quét dạng số với thửa đất trong cơ sở dữ liệu</v>
      </c>
      <c r="C367" s="562" t="str">
        <f>NCong!C280</f>
        <v>Thửa</v>
      </c>
      <c r="D367" s="562"/>
      <c r="E367" s="564">
        <f>NCong!I280</f>
        <v>2600.91</v>
      </c>
      <c r="F367" s="564"/>
      <c r="G367" s="564"/>
      <c r="H367" s="564"/>
      <c r="I367" s="564"/>
      <c r="J367" s="564"/>
      <c r="K367" s="564">
        <f t="shared" si="52"/>
        <v>2600.91</v>
      </c>
      <c r="L367" s="564">
        <f t="shared" si="53"/>
        <v>390.13649999999996</v>
      </c>
      <c r="M367" s="564">
        <f t="shared" si="54"/>
        <v>2991.0464999999999</v>
      </c>
      <c r="N367" s="565">
        <f>NCong!J280</f>
        <v>255.64500000000001</v>
      </c>
    </row>
    <row r="368" spans="1:14" s="566" customFormat="1" ht="30" customHeight="1">
      <c r="A368" s="560" t="str">
        <f>NCong!A281</f>
        <v>22</v>
      </c>
      <c r="B368" s="561" t="str">
        <f>NCong!B281</f>
        <v>Chuyển Giấy chứng nhận đến Bộ phận một cửa để trao cho người sử dụng đất hoặc chuyển Giấy chứng nhận cho người sử dụng đất thông qua dịch vụ bưu chính công ích</v>
      </c>
      <c r="C368" s="562" t="str">
        <f>NCong!C281</f>
        <v>Hồ sơ</v>
      </c>
      <c r="D368" s="562"/>
      <c r="E368" s="564">
        <f>NCong!I281</f>
        <v>5935.41</v>
      </c>
      <c r="F368" s="564"/>
      <c r="G368" s="564"/>
      <c r="H368" s="564"/>
      <c r="I368" s="564"/>
      <c r="J368" s="564"/>
      <c r="K368" s="564">
        <f t="shared" si="52"/>
        <v>5935.41</v>
      </c>
      <c r="L368" s="564">
        <f t="shared" si="53"/>
        <v>890.31149999999991</v>
      </c>
      <c r="M368" s="564">
        <f t="shared" si="54"/>
        <v>6825.7214999999997</v>
      </c>
      <c r="N368" s="565">
        <f>NCong!J281</f>
        <v>511.29</v>
      </c>
    </row>
    <row r="369" spans="1:14" s="566" customFormat="1" ht="50.1" customHeight="1">
      <c r="A369" s="560" t="str">
        <f>NCong!A282</f>
        <v>23</v>
      </c>
      <c r="B369" s="561" t="str">
        <f>NCong!B282</f>
        <v xml:space="preserve">Nhận hồ sơ địa chính từ cấp tỉnh và gửi về xã, phường (01 bộ) </v>
      </c>
      <c r="C369" s="562" t="str">
        <f>NCong!C282</f>
        <v>Bộ/xã , phường</v>
      </c>
      <c r="D369" s="562"/>
      <c r="E369" s="564">
        <f>NCong!I282</f>
        <v>474.83280000000002</v>
      </c>
      <c r="F369" s="564"/>
      <c r="G369" s="564"/>
      <c r="H369" s="564"/>
      <c r="I369" s="564"/>
      <c r="J369" s="564"/>
      <c r="K369" s="564">
        <f t="shared" si="52"/>
        <v>474.83280000000002</v>
      </c>
      <c r="L369" s="564">
        <f t="shared" si="53"/>
        <v>71.224919999999997</v>
      </c>
      <c r="M369" s="564">
        <f t="shared" si="54"/>
        <v>546.05772000000002</v>
      </c>
      <c r="N369" s="565">
        <f>NCong!J282</f>
        <v>818064</v>
      </c>
    </row>
    <row r="370" spans="1:14" s="566" customFormat="1" ht="39.950000000000003" customHeight="1">
      <c r="A370" s="560" t="e">
        <f>NCong!#REF!</f>
        <v>#REF!</v>
      </c>
      <c r="B370" s="561" t="e">
        <f>NCong!#REF!</f>
        <v>#REF!</v>
      </c>
      <c r="C370" s="562" t="e">
        <f>NCong!#REF!</f>
        <v>#REF!</v>
      </c>
      <c r="D370" s="562"/>
      <c r="E370" s="564" t="e">
        <f>NCong!#REF!</f>
        <v>#REF!</v>
      </c>
      <c r="F370" s="564"/>
      <c r="G370" s="564"/>
      <c r="H370" s="564"/>
      <c r="I370" s="564"/>
      <c r="J370" s="564"/>
      <c r="K370" s="564" t="e">
        <f t="shared" si="52"/>
        <v>#REF!</v>
      </c>
      <c r="L370" s="564" t="e">
        <f t="shared" si="53"/>
        <v>#REF!</v>
      </c>
      <c r="M370" s="564" t="e">
        <f t="shared" si="54"/>
        <v>#REF!</v>
      </c>
      <c r="N370" s="565" t="e">
        <f>NCong!#REF!</f>
        <v>#REF!</v>
      </c>
    </row>
    <row r="371" spans="1:14" s="544" customFormat="1" ht="39.950000000000003" customHeight="1">
      <c r="A371" s="539" t="str">
        <f>NCong!A283</f>
        <v>IV.2</v>
      </c>
      <c r="B371" s="545" t="str">
        <f>NCong!B283</f>
        <v>CÁC NỘI DUNG THỰC HIỆN TẠI ĐỊA BÀN CẤP TỈNH</v>
      </c>
      <c r="C371" s="540" t="s">
        <v>53</v>
      </c>
      <c r="D371" s="540">
        <f>NCong!F283</f>
        <v>0</v>
      </c>
      <c r="E371" s="589">
        <f>NCong!I283</f>
        <v>27676.433362500004</v>
      </c>
      <c r="F371" s="589"/>
      <c r="G371" s="589">
        <f>Dcu!L123</f>
        <v>916.50581053846167</v>
      </c>
      <c r="H371" s="589">
        <f>VLieu!J91</f>
        <v>10012.540000000001</v>
      </c>
      <c r="I371" s="589">
        <f>Tbi!I78</f>
        <v>3120.8517999999999</v>
      </c>
      <c r="J371" s="589">
        <f>Tbi!I84+Dcu!L$119</f>
        <v>4857.760362</v>
      </c>
      <c r="K371" s="589">
        <f t="shared" si="52"/>
        <v>46584.091335038465</v>
      </c>
      <c r="L371" s="589">
        <f t="shared" si="53"/>
        <v>6987.6137002557698</v>
      </c>
      <c r="M371" s="589">
        <f t="shared" si="54"/>
        <v>53571.705035294231</v>
      </c>
      <c r="N371" s="590">
        <f>NCong!J283</f>
        <v>4222.9358437499995</v>
      </c>
    </row>
    <row r="372" spans="1:14" s="534" customFormat="1" ht="30" customHeight="1">
      <c r="A372" s="578" t="str">
        <f>NCong!A291</f>
        <v>IV.3</v>
      </c>
      <c r="B372" s="579" t="str">
        <f>NCong!B291</f>
        <v>GHI CHÚ</v>
      </c>
      <c r="C372" s="569">
        <f>NCong!C291</f>
        <v>0</v>
      </c>
      <c r="D372" s="569">
        <f>NCong!F291</f>
        <v>0</v>
      </c>
      <c r="E372" s="586">
        <f>NCong!I291</f>
        <v>0</v>
      </c>
      <c r="F372" s="586"/>
      <c r="G372" s="586"/>
      <c r="H372" s="586"/>
      <c r="I372" s="586"/>
      <c r="J372" s="586"/>
      <c r="K372" s="586">
        <f t="shared" si="52"/>
        <v>0</v>
      </c>
      <c r="L372" s="586">
        <f t="shared" si="53"/>
        <v>0</v>
      </c>
      <c r="M372" s="586">
        <f t="shared" si="54"/>
        <v>0</v>
      </c>
      <c r="N372" s="591">
        <f>NCong!J291</f>
        <v>0</v>
      </c>
    </row>
    <row r="373" spans="1:14" ht="54.95" customHeight="1">
      <c r="A373" s="1842" t="str">
        <f>NCong!A292</f>
        <v>1</v>
      </c>
      <c r="B373" s="1813" t="str">
        <f>NCong!B292</f>
        <v>Định mức trên đây tính đối với việc đăng ký, cấp đổi GCN về quyền sử dụng đất. Trường hợp đăng ký, cấp đổi GCN đối với cả đất và tài sản gắn liền với đất thì định mức tính cho 1 hồ sơ đăng ký cả đất và tài sản bằng 1,3 lần định mức lao động cho 1 hồ sơ đăng ký đối với đất quy định tại Bảng này. Trường hợp đăng ký cấp đổi GCN riêng đối với tài sản thì định mức tính cho 1 hồ sơ đăng ký cấp đổi GCN đối với tài sản bằng định mức lao động cho 1 hồ sơ đăng ký đối với đất quy định tại Bảng này</v>
      </c>
      <c r="C373" s="1845" t="s">
        <v>53</v>
      </c>
      <c r="D373" s="548">
        <v>1</v>
      </c>
      <c r="E373" s="547" t="e">
        <f t="shared" ref="E373:J375" si="55">E354*1.3</f>
        <v>#REF!</v>
      </c>
      <c r="F373" s="547">
        <f t="shared" si="55"/>
        <v>532.125</v>
      </c>
      <c r="G373" s="547">
        <f t="shared" si="55"/>
        <v>8386.901480640001</v>
      </c>
      <c r="H373" s="547">
        <f t="shared" si="55"/>
        <v>42588.962000000007</v>
      </c>
      <c r="I373" s="547" t="e">
        <f t="shared" si="55"/>
        <v>#REF!</v>
      </c>
      <c r="J373" s="547" t="e">
        <f t="shared" si="55"/>
        <v>#REF!</v>
      </c>
      <c r="K373" s="547" t="e">
        <f t="shared" si="52"/>
        <v>#REF!</v>
      </c>
      <c r="L373" s="547" t="e">
        <f t="shared" si="53"/>
        <v>#REF!</v>
      </c>
      <c r="M373" s="547" t="e">
        <f t="shared" si="54"/>
        <v>#REF!</v>
      </c>
      <c r="N373" s="592" t="e">
        <f>N354*1.3</f>
        <v>#REF!</v>
      </c>
    </row>
    <row r="374" spans="1:14" ht="54.95" customHeight="1">
      <c r="A374" s="1842"/>
      <c r="B374" s="1813"/>
      <c r="C374" s="1845"/>
      <c r="D374" s="548">
        <v>2</v>
      </c>
      <c r="E374" s="547" t="e">
        <f t="shared" si="55"/>
        <v>#REF!</v>
      </c>
      <c r="F374" s="547">
        <f t="shared" si="55"/>
        <v>532.125</v>
      </c>
      <c r="G374" s="547">
        <f t="shared" si="55"/>
        <v>9186.3952503</v>
      </c>
      <c r="H374" s="547">
        <f t="shared" si="55"/>
        <v>42588.962000000007</v>
      </c>
      <c r="I374" s="547" t="e">
        <f t="shared" si="55"/>
        <v>#REF!</v>
      </c>
      <c r="J374" s="547" t="e">
        <f t="shared" si="55"/>
        <v>#REF!</v>
      </c>
      <c r="K374" s="547" t="e">
        <f t="shared" si="52"/>
        <v>#REF!</v>
      </c>
      <c r="L374" s="547" t="e">
        <f t="shared" si="53"/>
        <v>#REF!</v>
      </c>
      <c r="M374" s="547" t="e">
        <f t="shared" si="54"/>
        <v>#REF!</v>
      </c>
      <c r="N374" s="592" t="e">
        <f>N355*1.3</f>
        <v>#REF!</v>
      </c>
    </row>
    <row r="375" spans="1:14" ht="54.95" customHeight="1">
      <c r="A375" s="1842"/>
      <c r="B375" s="1813"/>
      <c r="C375" s="1845"/>
      <c r="D375" s="548">
        <v>3</v>
      </c>
      <c r="E375" s="547" t="e">
        <f t="shared" si="55"/>
        <v>#REF!</v>
      </c>
      <c r="F375" s="547">
        <f t="shared" si="55"/>
        <v>532.125</v>
      </c>
      <c r="G375" s="547">
        <f t="shared" si="55"/>
        <v>9985.8890199600028</v>
      </c>
      <c r="H375" s="547">
        <f t="shared" si="55"/>
        <v>42588.962000000007</v>
      </c>
      <c r="I375" s="547" t="e">
        <f t="shared" si="55"/>
        <v>#REF!</v>
      </c>
      <c r="J375" s="547" t="e">
        <f t="shared" si="55"/>
        <v>#REF!</v>
      </c>
      <c r="K375" s="547" t="e">
        <f t="shared" si="52"/>
        <v>#REF!</v>
      </c>
      <c r="L375" s="547" t="e">
        <f t="shared" si="53"/>
        <v>#REF!</v>
      </c>
      <c r="M375" s="547" t="e">
        <f t="shared" si="54"/>
        <v>#REF!</v>
      </c>
      <c r="N375" s="592" t="e">
        <f>N356*1.3</f>
        <v>#REF!</v>
      </c>
    </row>
    <row r="376" spans="1:14" ht="50.1" customHeight="1">
      <c r="A376" s="1842" t="str">
        <f>NCong!A293</f>
        <v>2</v>
      </c>
      <c r="B376" s="1813" t="str">
        <f>NCong!B293</f>
        <v>Trường hợp nhiều thửa đất nông nghiệp lập chung trong 1 hồ sơ và cấp chung trong một GCN thì ngoài mức được tính ở trên, mỗi thửa đất tăng thêm được tính mức bằng 0,30 lần định mức quy định đối với Mục 2, 3, 4, 5, 6, 7, 8, 9, 10, 11, 12, 13, 14, 18, 19, 20, 21 và 23 các nội dung thực hiện tại địa bàn phường; Mục 1, 2 và 3 các nội dung thực hiện tại địa bàn cấp tỉnh của Bảng này</v>
      </c>
      <c r="C376" s="1845" t="s">
        <v>53</v>
      </c>
      <c r="D376" s="548">
        <v>1</v>
      </c>
      <c r="E376" s="547" t="e">
        <f>0.3*SUM(NCong!I$246,NCong!I$247,NCong!#REF!,NCong!#REF!,NCong!#REF!,NCong!#REF!,NCong!I$248,NCong!#REF!)</f>
        <v>#REF!</v>
      </c>
      <c r="F376" s="547" t="e">
        <f>0.3*NCong!#REF!</f>
        <v>#REF!</v>
      </c>
      <c r="G376" s="547"/>
      <c r="H376" s="547"/>
      <c r="I376" s="547"/>
      <c r="J376" s="547"/>
      <c r="K376" s="547" t="e">
        <f t="shared" si="52"/>
        <v>#REF!</v>
      </c>
      <c r="L376" s="547" t="e">
        <f t="shared" si="53"/>
        <v>#REF!</v>
      </c>
      <c r="M376" s="547" t="e">
        <f t="shared" si="54"/>
        <v>#REF!</v>
      </c>
      <c r="N376" s="592" t="e">
        <f>0.3*SUM(NCong!J$246,NCong!J$247,NCong!#REF!,NCong!#REF!,NCong!#REF!,NCong!#REF!,NCong!J$248,NCong!#REF!)</f>
        <v>#REF!</v>
      </c>
    </row>
    <row r="377" spans="1:14" ht="50.1" customHeight="1">
      <c r="A377" s="1842"/>
      <c r="B377" s="1813"/>
      <c r="C377" s="1845"/>
      <c r="D377" s="548">
        <v>2</v>
      </c>
      <c r="E377" s="547" t="e">
        <f>0.3*SUM(NCong!I$246,NCong!I$247,NCong!#REF!,NCong!#REF!,NCong!#REF!,NCong!#REF!,NCong!I$248,NCong!#REF!)</f>
        <v>#REF!</v>
      </c>
      <c r="F377" s="547" t="e">
        <f>0.3*NCong!#REF!</f>
        <v>#REF!</v>
      </c>
      <c r="G377" s="547"/>
      <c r="H377" s="547"/>
      <c r="I377" s="547"/>
      <c r="J377" s="547"/>
      <c r="K377" s="547" t="e">
        <f t="shared" si="52"/>
        <v>#REF!</v>
      </c>
      <c r="L377" s="547" t="e">
        <f t="shared" si="53"/>
        <v>#REF!</v>
      </c>
      <c r="M377" s="547" t="e">
        <f t="shared" si="54"/>
        <v>#REF!</v>
      </c>
      <c r="N377" s="592" t="e">
        <f>0.3*SUM(NCong!J$246,NCong!J$247,NCong!#REF!,NCong!#REF!,NCong!#REF!,NCong!#REF!,NCong!J$248,NCong!#REF!)</f>
        <v>#REF!</v>
      </c>
    </row>
    <row r="378" spans="1:14" ht="50.1" customHeight="1">
      <c r="A378" s="1842"/>
      <c r="B378" s="1813"/>
      <c r="C378" s="1845"/>
      <c r="D378" s="548">
        <v>3</v>
      </c>
      <c r="E378" s="547" t="e">
        <f>0.3*SUM(NCong!I$246,NCong!I$247,NCong!#REF!,NCong!#REF!,NCong!#REF!,NCong!#REF!,NCong!I$248,NCong!#REF!)</f>
        <v>#REF!</v>
      </c>
      <c r="F378" s="547" t="e">
        <f>0.3*NCong!#REF!</f>
        <v>#REF!</v>
      </c>
      <c r="G378" s="547"/>
      <c r="H378" s="547"/>
      <c r="I378" s="547"/>
      <c r="J378" s="547"/>
      <c r="K378" s="547" t="e">
        <f t="shared" si="52"/>
        <v>#REF!</v>
      </c>
      <c r="L378" s="547" t="e">
        <f t="shared" si="53"/>
        <v>#REF!</v>
      </c>
      <c r="M378" s="547" t="e">
        <f t="shared" si="54"/>
        <v>#REF!</v>
      </c>
      <c r="N378" s="592" t="e">
        <f>0.3*SUM(NCong!J$246,NCong!J$247,NCong!#REF!,NCong!#REF!,NCong!#REF!,NCong!#REF!,NCong!J$248,NCong!#REF!)</f>
        <v>#REF!</v>
      </c>
    </row>
    <row r="379" spans="1:14" ht="30" customHeight="1">
      <c r="A379" s="1842" t="str">
        <f>NCong!A294</f>
        <v>3</v>
      </c>
      <c r="B379" s="1813" t="str">
        <f>NCong!B294</f>
        <v>Trường hợp thửa đất đã cấp GCN mà có thay đổi về mục đích sử dụng đất, ranh giới thửa đất thì áp dụng theo định mức quy định tại Bảng này</v>
      </c>
      <c r="C379" s="1845" t="s">
        <v>53</v>
      </c>
      <c r="D379" s="548">
        <v>1</v>
      </c>
      <c r="E379" s="547" t="e">
        <f t="shared" ref="E379:J381" si="56">E5</f>
        <v>#REF!</v>
      </c>
      <c r="F379" s="547">
        <f t="shared" si="56"/>
        <v>45890.096153846156</v>
      </c>
      <c r="G379" s="547">
        <f t="shared" si="56"/>
        <v>9620.4272033628222</v>
      </c>
      <c r="H379" s="547">
        <f t="shared" si="56"/>
        <v>33001</v>
      </c>
      <c r="I379" s="547" t="e">
        <f t="shared" si="56"/>
        <v>#REF!</v>
      </c>
      <c r="J379" s="547" t="e">
        <f t="shared" si="56"/>
        <v>#REF!</v>
      </c>
      <c r="K379" s="547" t="e">
        <f t="shared" si="52"/>
        <v>#REF!</v>
      </c>
      <c r="L379" s="547" t="e">
        <f t="shared" si="53"/>
        <v>#REF!</v>
      </c>
      <c r="M379" s="547" t="e">
        <f t="shared" si="54"/>
        <v>#REF!</v>
      </c>
      <c r="N379" s="592" t="e">
        <f>N5</f>
        <v>#REF!</v>
      </c>
    </row>
    <row r="380" spans="1:14" ht="30" customHeight="1">
      <c r="A380" s="1842"/>
      <c r="B380" s="1813"/>
      <c r="C380" s="1845"/>
      <c r="D380" s="548">
        <v>2</v>
      </c>
      <c r="E380" s="547" t="e">
        <f t="shared" si="56"/>
        <v>#REF!</v>
      </c>
      <c r="F380" s="547">
        <f t="shared" si="56"/>
        <v>54986.25</v>
      </c>
      <c r="G380" s="547">
        <f t="shared" si="56"/>
        <v>10599.706408025642</v>
      </c>
      <c r="H380" s="547">
        <f t="shared" si="56"/>
        <v>33001</v>
      </c>
      <c r="I380" s="547" t="e">
        <f t="shared" si="56"/>
        <v>#REF!</v>
      </c>
      <c r="J380" s="547" t="e">
        <f t="shared" si="56"/>
        <v>#REF!</v>
      </c>
      <c r="K380" s="547" t="e">
        <f t="shared" si="52"/>
        <v>#REF!</v>
      </c>
      <c r="L380" s="547" t="e">
        <f t="shared" si="53"/>
        <v>#REF!</v>
      </c>
      <c r="M380" s="547" t="e">
        <f t="shared" si="54"/>
        <v>#REF!</v>
      </c>
      <c r="N380" s="592" t="e">
        <f>N6</f>
        <v>#REF!</v>
      </c>
    </row>
    <row r="381" spans="1:14" ht="30" customHeight="1">
      <c r="A381" s="1842"/>
      <c r="B381" s="1813"/>
      <c r="C381" s="1845"/>
      <c r="D381" s="548">
        <v>3</v>
      </c>
      <c r="E381" s="547" t="e">
        <f t="shared" si="56"/>
        <v>#REF!</v>
      </c>
      <c r="F381" s="547">
        <f t="shared" si="56"/>
        <v>65901.634615384624</v>
      </c>
      <c r="G381" s="547">
        <f t="shared" si="56"/>
        <v>11578.985612688464</v>
      </c>
      <c r="H381" s="547">
        <f t="shared" si="56"/>
        <v>33001</v>
      </c>
      <c r="I381" s="547" t="e">
        <f t="shared" si="56"/>
        <v>#REF!</v>
      </c>
      <c r="J381" s="547" t="e">
        <f t="shared" si="56"/>
        <v>#REF!</v>
      </c>
      <c r="K381" s="547" t="e">
        <f t="shared" si="52"/>
        <v>#REF!</v>
      </c>
      <c r="L381" s="547" t="e">
        <f t="shared" si="53"/>
        <v>#REF!</v>
      </c>
      <c r="M381" s="547" t="e">
        <f t="shared" si="54"/>
        <v>#REF!</v>
      </c>
      <c r="N381" s="592" t="e">
        <f>N7</f>
        <v>#REF!</v>
      </c>
    </row>
    <row r="382" spans="1:14" ht="39.950000000000003" customHeight="1">
      <c r="A382" s="1842" t="str">
        <f>NCong!A295</f>
        <v>4</v>
      </c>
      <c r="B382" s="1813" t="str">
        <f>NCong!B295</f>
        <v>Trường hợp thửa đất đã cấp GCN mà có thay đổi về mục đích sử dụng đất, ranh giới thửa đất thì áp dụng theo định mức quy định như đối với trường hợp cấp GCN đồng loạt lần đầu</v>
      </c>
      <c r="C382" s="1845" t="s">
        <v>53</v>
      </c>
      <c r="D382" s="548">
        <v>1</v>
      </c>
      <c r="E382" s="547" t="e">
        <f>E354+NCong!I$255*0.5</f>
        <v>#REF!</v>
      </c>
      <c r="F382" s="547">
        <f t="shared" ref="F382:J384" si="57">F354</f>
        <v>409.32692307692309</v>
      </c>
      <c r="G382" s="547">
        <f t="shared" si="57"/>
        <v>6451.4626774153849</v>
      </c>
      <c r="H382" s="547">
        <f t="shared" si="57"/>
        <v>32760.74</v>
      </c>
      <c r="I382" s="547" t="e">
        <f t="shared" si="57"/>
        <v>#REF!</v>
      </c>
      <c r="J382" s="547" t="e">
        <f t="shared" si="57"/>
        <v>#REF!</v>
      </c>
      <c r="K382" s="547" t="e">
        <f t="shared" si="52"/>
        <v>#REF!</v>
      </c>
      <c r="L382" s="547" t="e">
        <f t="shared" si="53"/>
        <v>#REF!</v>
      </c>
      <c r="M382" s="547" t="e">
        <f t="shared" si="54"/>
        <v>#REF!</v>
      </c>
      <c r="N382" s="592" t="e">
        <f>N354+NCong!J$255*0.5</f>
        <v>#REF!</v>
      </c>
    </row>
    <row r="383" spans="1:14" ht="39.950000000000003" customHeight="1">
      <c r="A383" s="1842"/>
      <c r="B383" s="1813"/>
      <c r="C383" s="1845"/>
      <c r="D383" s="548">
        <v>2</v>
      </c>
      <c r="E383" s="547" t="e">
        <f>E355+NCong!I$255*0.5</f>
        <v>#REF!</v>
      </c>
      <c r="F383" s="547">
        <f t="shared" si="57"/>
        <v>409.32692307692309</v>
      </c>
      <c r="G383" s="547">
        <f t="shared" si="57"/>
        <v>7066.4578848461542</v>
      </c>
      <c r="H383" s="547">
        <f t="shared" si="57"/>
        <v>32760.74</v>
      </c>
      <c r="I383" s="547" t="e">
        <f t="shared" si="57"/>
        <v>#REF!</v>
      </c>
      <c r="J383" s="547" t="e">
        <f t="shared" si="57"/>
        <v>#REF!</v>
      </c>
      <c r="K383" s="547" t="e">
        <f t="shared" si="52"/>
        <v>#REF!</v>
      </c>
      <c r="L383" s="547" t="e">
        <f t="shared" si="53"/>
        <v>#REF!</v>
      </c>
      <c r="M383" s="547" t="e">
        <f t="shared" si="54"/>
        <v>#REF!</v>
      </c>
      <c r="N383" s="592" t="e">
        <f>N355+NCong!J$255*0.5</f>
        <v>#REF!</v>
      </c>
    </row>
    <row r="384" spans="1:14" ht="39.950000000000003" customHeight="1">
      <c r="A384" s="1842"/>
      <c r="B384" s="1813"/>
      <c r="C384" s="1845"/>
      <c r="D384" s="548">
        <v>3</v>
      </c>
      <c r="E384" s="547" t="e">
        <f>E356+NCong!I$255*0.5</f>
        <v>#REF!</v>
      </c>
      <c r="F384" s="547">
        <f t="shared" si="57"/>
        <v>409.32692307692309</v>
      </c>
      <c r="G384" s="547">
        <f t="shared" si="57"/>
        <v>7681.4530922769245</v>
      </c>
      <c r="H384" s="547">
        <f t="shared" si="57"/>
        <v>32760.74</v>
      </c>
      <c r="I384" s="547" t="e">
        <f t="shared" si="57"/>
        <v>#REF!</v>
      </c>
      <c r="J384" s="547" t="e">
        <f t="shared" si="57"/>
        <v>#REF!</v>
      </c>
      <c r="K384" s="547" t="e">
        <f t="shared" si="52"/>
        <v>#REF!</v>
      </c>
      <c r="L384" s="547" t="e">
        <f t="shared" si="53"/>
        <v>#REF!</v>
      </c>
      <c r="M384" s="547" t="e">
        <f t="shared" si="54"/>
        <v>#REF!</v>
      </c>
      <c r="N384" s="592" t="e">
        <f>N356+NCong!J$255*0.5</f>
        <v>#REF!</v>
      </c>
    </row>
    <row r="385" spans="1:14" ht="30" customHeight="1">
      <c r="A385" s="1842" t="str">
        <f>NCong!A296</f>
        <v>5</v>
      </c>
      <c r="B385" s="1813" t="str">
        <f>NCong!B296</f>
        <v>Trường hợp cấp đổi GCN đối với thửa đất có biến động khác về quyền sử dụng đất, tài sản gắn liền với đất (chuyển quyền sử dụng đất, thay đổi về tài sản gắn liền với đất, v.v...) thì định mức lao động quy định tại các mục 2 7, 8, 9, 10, 11, 12, 13, 14, 18, 19, 20, 21 và 23 các nội dung thực hiện tại địa bàn xã Bảng này được tính bằng 1,5 lần.</v>
      </c>
      <c r="C385" s="1845" t="s">
        <v>53</v>
      </c>
      <c r="D385" s="548">
        <v>1</v>
      </c>
      <c r="E385" s="547" t="e">
        <f t="shared" ref="E385:J387" si="58">E354*0.9</f>
        <v>#REF!</v>
      </c>
      <c r="F385" s="547">
        <f t="shared" si="58"/>
        <v>368.39423076923077</v>
      </c>
      <c r="G385" s="547">
        <f t="shared" si="58"/>
        <v>5806.3164096738465</v>
      </c>
      <c r="H385" s="547">
        <f t="shared" si="58"/>
        <v>29484.666000000001</v>
      </c>
      <c r="I385" s="547" t="e">
        <f t="shared" si="58"/>
        <v>#REF!</v>
      </c>
      <c r="J385" s="547" t="e">
        <f t="shared" si="58"/>
        <v>#REF!</v>
      </c>
      <c r="K385" s="547" t="e">
        <f t="shared" si="52"/>
        <v>#REF!</v>
      </c>
      <c r="L385" s="547" t="e">
        <f t="shared" si="53"/>
        <v>#REF!</v>
      </c>
      <c r="M385" s="547" t="e">
        <f t="shared" si="54"/>
        <v>#REF!</v>
      </c>
      <c r="N385" s="592" t="e">
        <f>N354*0.9</f>
        <v>#REF!</v>
      </c>
    </row>
    <row r="386" spans="1:14" ht="30" customHeight="1">
      <c r="A386" s="1842"/>
      <c r="B386" s="1813"/>
      <c r="C386" s="1845"/>
      <c r="D386" s="548">
        <v>2</v>
      </c>
      <c r="E386" s="547" t="e">
        <f t="shared" si="58"/>
        <v>#REF!</v>
      </c>
      <c r="F386" s="547">
        <f t="shared" si="58"/>
        <v>368.39423076923077</v>
      </c>
      <c r="G386" s="547">
        <f t="shared" si="58"/>
        <v>6359.8120963615393</v>
      </c>
      <c r="H386" s="547">
        <f t="shared" si="58"/>
        <v>29484.666000000001</v>
      </c>
      <c r="I386" s="547" t="e">
        <f t="shared" si="58"/>
        <v>#REF!</v>
      </c>
      <c r="J386" s="547" t="e">
        <f t="shared" si="58"/>
        <v>#REF!</v>
      </c>
      <c r="K386" s="547" t="e">
        <f t="shared" si="52"/>
        <v>#REF!</v>
      </c>
      <c r="L386" s="547" t="e">
        <f t="shared" si="53"/>
        <v>#REF!</v>
      </c>
      <c r="M386" s="547" t="e">
        <f t="shared" si="54"/>
        <v>#REF!</v>
      </c>
      <c r="N386" s="592" t="e">
        <f>N355*0.9</f>
        <v>#REF!</v>
      </c>
    </row>
    <row r="387" spans="1:14" ht="30" customHeight="1">
      <c r="A387" s="1842"/>
      <c r="B387" s="1813"/>
      <c r="C387" s="1845"/>
      <c r="D387" s="548">
        <v>3</v>
      </c>
      <c r="E387" s="547" t="e">
        <f t="shared" si="58"/>
        <v>#REF!</v>
      </c>
      <c r="F387" s="547">
        <f t="shared" si="58"/>
        <v>368.39423076923077</v>
      </c>
      <c r="G387" s="547">
        <f t="shared" si="58"/>
        <v>6913.3077830492321</v>
      </c>
      <c r="H387" s="547">
        <f t="shared" si="58"/>
        <v>29484.666000000001</v>
      </c>
      <c r="I387" s="547" t="e">
        <f t="shared" si="58"/>
        <v>#REF!</v>
      </c>
      <c r="J387" s="547" t="e">
        <f t="shared" si="58"/>
        <v>#REF!</v>
      </c>
      <c r="K387" s="547" t="e">
        <f t="shared" si="52"/>
        <v>#REF!</v>
      </c>
      <c r="L387" s="547" t="e">
        <f t="shared" si="53"/>
        <v>#REF!</v>
      </c>
      <c r="M387" s="547" t="e">
        <f t="shared" si="54"/>
        <v>#REF!</v>
      </c>
      <c r="N387" s="592" t="e">
        <f>N356*0.9</f>
        <v>#REF!</v>
      </c>
    </row>
    <row r="388" spans="1:14" ht="80.099999999999994" customHeight="1">
      <c r="A388" s="546" t="str">
        <f>NCong!A297</f>
        <v>6</v>
      </c>
      <c r="B388" s="559" t="str">
        <f>NCong!B297</f>
        <v>Trường hợp có kê khai đăng ký, nhưng người sử dụng đất không đổi GCN thì định mức được tính bằng 90% định mức quy định đối với trường hợp cấp đổi GCN tại Bảng 9,</v>
      </c>
      <c r="C388" s="548"/>
      <c r="D388" s="548"/>
      <c r="E388" s="547"/>
      <c r="F388" s="547"/>
      <c r="G388" s="547"/>
      <c r="H388" s="547"/>
      <c r="I388" s="547"/>
      <c r="J388" s="547"/>
      <c r="K388" s="547"/>
      <c r="L388" s="547"/>
      <c r="M388" s="547"/>
      <c r="N388" s="592"/>
    </row>
    <row r="389" spans="1:14" ht="69.95" customHeight="1">
      <c r="A389" s="546" t="str">
        <f>NCong!A299</f>
        <v>8</v>
      </c>
      <c r="B389" s="559" t="str">
        <f>NCong!B299</f>
        <v>Đơn vị tính tại Bảng này trong trường hợp sử dụng là “Điểm” được tính trung bình cho 10 điểm/1 xã, phường,đặc khu và “Cuộc” được tính trung bình cho 10 cuộc/1 xã, phường,đặc khu</v>
      </c>
      <c r="C389" s="548"/>
      <c r="D389" s="548"/>
      <c r="E389" s="547"/>
      <c r="F389" s="547"/>
      <c r="G389" s="547"/>
      <c r="H389" s="547"/>
      <c r="I389" s="547"/>
      <c r="J389" s="547"/>
      <c r="K389" s="547"/>
      <c r="L389" s="547"/>
      <c r="M389" s="547"/>
      <c r="N389" s="592"/>
    </row>
    <row r="390" spans="1:14" s="534" customFormat="1" ht="30" customHeight="1">
      <c r="A390" s="1830" t="s">
        <v>235</v>
      </c>
      <c r="B390" s="1846" t="s">
        <v>576</v>
      </c>
      <c r="C390" s="1832" t="s">
        <v>53</v>
      </c>
      <c r="D390" s="585">
        <v>2</v>
      </c>
      <c r="E390" s="537" t="e">
        <f t="shared" ref="E390:J393" si="59">E394+E$398+E$409</f>
        <v>#REF!</v>
      </c>
      <c r="F390" s="537" t="e">
        <f t="shared" si="59"/>
        <v>#REF!</v>
      </c>
      <c r="G390" s="537">
        <f t="shared" si="59"/>
        <v>9664.0713568376086</v>
      </c>
      <c r="H390" s="537" t="e">
        <f t="shared" si="59"/>
        <v>#REF!</v>
      </c>
      <c r="I390" s="537" t="e">
        <f t="shared" si="59"/>
        <v>#REF!</v>
      </c>
      <c r="J390" s="537" t="e">
        <f t="shared" si="59"/>
        <v>#REF!</v>
      </c>
      <c r="K390" s="537" t="e">
        <f t="shared" ref="K390:K409" si="60">SUM(E390:J390)</f>
        <v>#REF!</v>
      </c>
      <c r="L390" s="537" t="e">
        <f t="shared" ref="L390:L409" si="61">$L$4*K390</f>
        <v>#REF!</v>
      </c>
      <c r="M390" s="537" t="e">
        <f t="shared" ref="M390:M409" si="62">K390+L390</f>
        <v>#REF!</v>
      </c>
      <c r="N390" s="538" t="e">
        <f>N394+N$398+N$409</f>
        <v>#REF!</v>
      </c>
    </row>
    <row r="391" spans="1:14" s="534" customFormat="1" ht="30" customHeight="1">
      <c r="A391" s="1830"/>
      <c r="B391" s="1846"/>
      <c r="C391" s="1832"/>
      <c r="D391" s="585">
        <v>3</v>
      </c>
      <c r="E391" s="537" t="e">
        <f t="shared" si="59"/>
        <v>#REF!</v>
      </c>
      <c r="F391" s="537" t="e">
        <f t="shared" si="59"/>
        <v>#REF!</v>
      </c>
      <c r="G391" s="537">
        <f t="shared" si="59"/>
        <v>10134.831517094019</v>
      </c>
      <c r="H391" s="537" t="e">
        <f t="shared" si="59"/>
        <v>#REF!</v>
      </c>
      <c r="I391" s="537" t="e">
        <f t="shared" si="59"/>
        <v>#REF!</v>
      </c>
      <c r="J391" s="537" t="e">
        <f t="shared" si="59"/>
        <v>#REF!</v>
      </c>
      <c r="K391" s="537" t="e">
        <f t="shared" si="60"/>
        <v>#REF!</v>
      </c>
      <c r="L391" s="537" t="e">
        <f t="shared" si="61"/>
        <v>#REF!</v>
      </c>
      <c r="M391" s="537" t="e">
        <f t="shared" si="62"/>
        <v>#REF!</v>
      </c>
      <c r="N391" s="538" t="e">
        <f>N395+N$398+N$409</f>
        <v>#REF!</v>
      </c>
    </row>
    <row r="392" spans="1:14" s="534" customFormat="1" ht="30" customHeight="1">
      <c r="A392" s="1830"/>
      <c r="B392" s="1846"/>
      <c r="C392" s="1832"/>
      <c r="D392" s="585">
        <v>4</v>
      </c>
      <c r="E392" s="537" t="e">
        <f t="shared" si="59"/>
        <v>#REF!</v>
      </c>
      <c r="F392" s="537" t="e">
        <f t="shared" si="59"/>
        <v>#REF!</v>
      </c>
      <c r="G392" s="537">
        <f t="shared" si="59"/>
        <v>10605.591677350429</v>
      </c>
      <c r="H392" s="537" t="e">
        <f t="shared" si="59"/>
        <v>#REF!</v>
      </c>
      <c r="I392" s="537" t="e">
        <f t="shared" si="59"/>
        <v>#REF!</v>
      </c>
      <c r="J392" s="537" t="e">
        <f t="shared" si="59"/>
        <v>#REF!</v>
      </c>
      <c r="K392" s="537" t="e">
        <f>SUM(E392:J392)</f>
        <v>#REF!</v>
      </c>
      <c r="L392" s="537" t="e">
        <f>$L$4*K392</f>
        <v>#REF!</v>
      </c>
      <c r="M392" s="537" t="e">
        <f>K392+L392</f>
        <v>#REF!</v>
      </c>
      <c r="N392" s="538" t="e">
        <f>N396+N$398+N$409</f>
        <v>#REF!</v>
      </c>
    </row>
    <row r="393" spans="1:14" s="534" customFormat="1" ht="30" customHeight="1">
      <c r="A393" s="1830"/>
      <c r="B393" s="1846"/>
      <c r="C393" s="1832"/>
      <c r="D393" s="585">
        <v>5</v>
      </c>
      <c r="E393" s="537" t="e">
        <f t="shared" si="59"/>
        <v>#REF!</v>
      </c>
      <c r="F393" s="537" t="e">
        <f t="shared" si="59"/>
        <v>#REF!</v>
      </c>
      <c r="G393" s="537">
        <f t="shared" si="59"/>
        <v>11076.351837606839</v>
      </c>
      <c r="H393" s="537" t="e">
        <f t="shared" si="59"/>
        <v>#REF!</v>
      </c>
      <c r="I393" s="537" t="e">
        <f t="shared" si="59"/>
        <v>#REF!</v>
      </c>
      <c r="J393" s="537" t="e">
        <f t="shared" si="59"/>
        <v>#REF!</v>
      </c>
      <c r="K393" s="537" t="e">
        <f t="shared" si="60"/>
        <v>#REF!</v>
      </c>
      <c r="L393" s="537" t="e">
        <f t="shared" si="61"/>
        <v>#REF!</v>
      </c>
      <c r="M393" s="537" t="e">
        <f t="shared" si="62"/>
        <v>#REF!</v>
      </c>
      <c r="N393" s="538" t="e">
        <f>N397+N$398+N$409</f>
        <v>#REF!</v>
      </c>
    </row>
    <row r="394" spans="1:14" s="544" customFormat="1" ht="30" customHeight="1">
      <c r="A394" s="1833" t="e">
        <f>NCong!#REF!</f>
        <v>#REF!</v>
      </c>
      <c r="B394" s="1843" t="e">
        <f>NCong!#REF!</f>
        <v>#REF!</v>
      </c>
      <c r="C394" s="1835" t="s">
        <v>53</v>
      </c>
      <c r="D394" s="540">
        <v>2</v>
      </c>
      <c r="E394" s="542" t="e">
        <f>NCong!#REF!</f>
        <v>#REF!</v>
      </c>
      <c r="F394" s="542" t="e">
        <f>NCong!#REF!</f>
        <v>#REF!</v>
      </c>
      <c r="G394" s="542">
        <f>Dcu!J152</f>
        <v>4236.8414423076929</v>
      </c>
      <c r="H394" s="542"/>
      <c r="I394" s="542"/>
      <c r="J394" s="542">
        <f>Dcu!J$148</f>
        <v>0</v>
      </c>
      <c r="K394" s="542" t="e">
        <f t="shared" si="60"/>
        <v>#REF!</v>
      </c>
      <c r="L394" s="542" t="e">
        <f t="shared" si="61"/>
        <v>#REF!</v>
      </c>
      <c r="M394" s="542" t="e">
        <f t="shared" si="62"/>
        <v>#REF!</v>
      </c>
      <c r="N394" s="543" t="e">
        <f>NCong!#REF!</f>
        <v>#REF!</v>
      </c>
    </row>
    <row r="395" spans="1:14" s="544" customFormat="1" ht="30" customHeight="1">
      <c r="A395" s="1833"/>
      <c r="B395" s="1843"/>
      <c r="C395" s="1835"/>
      <c r="D395" s="540">
        <v>3</v>
      </c>
      <c r="E395" s="542" t="e">
        <f>NCong!#REF!</f>
        <v>#REF!</v>
      </c>
      <c r="F395" s="542" t="e">
        <f>NCong!#REF!</f>
        <v>#REF!</v>
      </c>
      <c r="G395" s="542">
        <f>Dcu!J153</f>
        <v>4707.6016025641029</v>
      </c>
      <c r="H395" s="542"/>
      <c r="I395" s="542"/>
      <c r="J395" s="542">
        <f>Dcu!J$148</f>
        <v>0</v>
      </c>
      <c r="K395" s="542" t="e">
        <f t="shared" si="60"/>
        <v>#REF!</v>
      </c>
      <c r="L395" s="542" t="e">
        <f t="shared" si="61"/>
        <v>#REF!</v>
      </c>
      <c r="M395" s="542" t="e">
        <f t="shared" si="62"/>
        <v>#REF!</v>
      </c>
      <c r="N395" s="543" t="e">
        <f>NCong!#REF!</f>
        <v>#REF!</v>
      </c>
    </row>
    <row r="396" spans="1:14" s="544" customFormat="1" ht="30" customHeight="1">
      <c r="A396" s="1833"/>
      <c r="B396" s="1843"/>
      <c r="C396" s="1835"/>
      <c r="D396" s="540">
        <v>4</v>
      </c>
      <c r="E396" s="542" t="e">
        <f>NCong!#REF!</f>
        <v>#REF!</v>
      </c>
      <c r="F396" s="542" t="e">
        <f>NCong!#REF!</f>
        <v>#REF!</v>
      </c>
      <c r="G396" s="542">
        <f>Dcu!J154</f>
        <v>5178.3617628205138</v>
      </c>
      <c r="H396" s="542"/>
      <c r="I396" s="542"/>
      <c r="J396" s="542">
        <f>Dcu!J$148</f>
        <v>0</v>
      </c>
      <c r="K396" s="542" t="e">
        <f>SUM(E396:J396)</f>
        <v>#REF!</v>
      </c>
      <c r="L396" s="542" t="e">
        <f>$L$4*K396</f>
        <v>#REF!</v>
      </c>
      <c r="M396" s="542" t="e">
        <f>K396+L396</f>
        <v>#REF!</v>
      </c>
      <c r="N396" s="543" t="e">
        <f>NCong!#REF!</f>
        <v>#REF!</v>
      </c>
    </row>
    <row r="397" spans="1:14" s="544" customFormat="1" ht="30" customHeight="1">
      <c r="A397" s="1833"/>
      <c r="B397" s="1843"/>
      <c r="C397" s="1835"/>
      <c r="D397" s="540">
        <v>5</v>
      </c>
      <c r="E397" s="542" t="e">
        <f>NCong!#REF!</f>
        <v>#REF!</v>
      </c>
      <c r="F397" s="542" t="e">
        <f>NCong!#REF!</f>
        <v>#REF!</v>
      </c>
      <c r="G397" s="542">
        <f>Dcu!J155</f>
        <v>5649.1219230769229</v>
      </c>
      <c r="H397" s="542"/>
      <c r="I397" s="542"/>
      <c r="J397" s="542">
        <f>Dcu!J$148</f>
        <v>0</v>
      </c>
      <c r="K397" s="542" t="e">
        <f t="shared" si="60"/>
        <v>#REF!</v>
      </c>
      <c r="L397" s="542" t="e">
        <f t="shared" si="61"/>
        <v>#REF!</v>
      </c>
      <c r="M397" s="542" t="e">
        <f t="shared" si="62"/>
        <v>#REF!</v>
      </c>
      <c r="N397" s="543" t="e">
        <f>NCong!#REF!</f>
        <v>#REF!</v>
      </c>
    </row>
    <row r="398" spans="1:14" s="544" customFormat="1" ht="35.1" customHeight="1">
      <c r="A398" s="539" t="e">
        <f>NCong!#REF!</f>
        <v>#REF!</v>
      </c>
      <c r="B398" s="545" t="e">
        <f>NCong!#REF!</f>
        <v>#REF!</v>
      </c>
      <c r="C398" s="540" t="s">
        <v>53</v>
      </c>
      <c r="D398" s="541" t="s">
        <v>204</v>
      </c>
      <c r="E398" s="589" t="e">
        <f>NCong!#REF!-E400-E402-E403</f>
        <v>#REF!</v>
      </c>
      <c r="F398" s="589"/>
      <c r="G398" s="589">
        <f>Dcu!K152</f>
        <v>4707.6016025641029</v>
      </c>
      <c r="H398" s="589" t="e">
        <f>VLieu!#REF!</f>
        <v>#REF!</v>
      </c>
      <c r="I398" s="589" t="e">
        <f>Tbi!#REF!</f>
        <v>#REF!</v>
      </c>
      <c r="J398" s="589" t="e">
        <f>Tbi!#REF!+Dcu!K148</f>
        <v>#REF!</v>
      </c>
      <c r="K398" s="589" t="e">
        <f t="shared" si="60"/>
        <v>#REF!</v>
      </c>
      <c r="L398" s="589" t="e">
        <f t="shared" si="61"/>
        <v>#REF!</v>
      </c>
      <c r="M398" s="589" t="e">
        <f t="shared" si="62"/>
        <v>#REF!</v>
      </c>
      <c r="N398" s="590" t="e">
        <f>NCong!#REF!-N400-N402</f>
        <v>#REF!</v>
      </c>
    </row>
    <row r="399" spans="1:14" ht="30" customHeight="1">
      <c r="A399" s="546" t="e">
        <f>NCong!#REF!</f>
        <v>#REF!</v>
      </c>
      <c r="B399" s="547" t="e">
        <f>NCong!#REF!</f>
        <v>#REF!</v>
      </c>
      <c r="C399" s="548" t="e">
        <f>NCong!#REF!</f>
        <v>#REF!</v>
      </c>
      <c r="D399" s="548" t="e">
        <f>NCong!#REF!</f>
        <v>#REF!</v>
      </c>
      <c r="E399" s="550" t="e">
        <f>NCong!#REF!</f>
        <v>#REF!</v>
      </c>
      <c r="F399" s="550"/>
      <c r="G399" s="550"/>
      <c r="H399" s="550"/>
      <c r="I399" s="550"/>
      <c r="J399" s="550"/>
      <c r="K399" s="550" t="e">
        <f t="shared" si="60"/>
        <v>#REF!</v>
      </c>
      <c r="L399" s="550" t="e">
        <f t="shared" si="61"/>
        <v>#REF!</v>
      </c>
      <c r="M399" s="550" t="e">
        <f t="shared" si="62"/>
        <v>#REF!</v>
      </c>
      <c r="N399" s="551" t="e">
        <f>NCong!#REF!</f>
        <v>#REF!</v>
      </c>
    </row>
    <row r="400" spans="1:14" s="558" customFormat="1" ht="30" customHeight="1">
      <c r="A400" s="553" t="e">
        <f>NCong!#REF!</f>
        <v>#REF!</v>
      </c>
      <c r="B400" s="554" t="e">
        <f>NCong!#REF!</f>
        <v>#REF!</v>
      </c>
      <c r="C400" s="555" t="e">
        <f>NCong!#REF!</f>
        <v>#REF!</v>
      </c>
      <c r="D400" s="549" t="e">
        <f>NCong!#REF!</f>
        <v>#REF!</v>
      </c>
      <c r="E400" s="556" t="e">
        <f>NCong!#REF!</f>
        <v>#REF!</v>
      </c>
      <c r="F400" s="556"/>
      <c r="G400" s="556"/>
      <c r="H400" s="556"/>
      <c r="I400" s="556"/>
      <c r="J400" s="556"/>
      <c r="K400" s="556" t="e">
        <f t="shared" si="60"/>
        <v>#REF!</v>
      </c>
      <c r="L400" s="556" t="e">
        <f t="shared" si="61"/>
        <v>#REF!</v>
      </c>
      <c r="M400" s="556" t="e">
        <f t="shared" si="62"/>
        <v>#REF!</v>
      </c>
      <c r="N400" s="557" t="e">
        <f>NCong!#REF!</f>
        <v>#REF!</v>
      </c>
    </row>
    <row r="401" spans="1:14" s="558" customFormat="1" ht="30" customHeight="1">
      <c r="A401" s="553" t="e">
        <f>NCong!#REF!</f>
        <v>#REF!</v>
      </c>
      <c r="B401" s="554" t="e">
        <f>NCong!#REF!</f>
        <v>#REF!</v>
      </c>
      <c r="C401" s="555" t="e">
        <f>NCong!#REF!</f>
        <v>#REF!</v>
      </c>
      <c r="D401" s="549" t="e">
        <f>NCong!#REF!</f>
        <v>#REF!</v>
      </c>
      <c r="E401" s="556" t="e">
        <f>NCong!#REF!</f>
        <v>#REF!</v>
      </c>
      <c r="F401" s="556"/>
      <c r="G401" s="556"/>
      <c r="H401" s="556"/>
      <c r="I401" s="556"/>
      <c r="J401" s="556"/>
      <c r="K401" s="556" t="e">
        <f t="shared" si="60"/>
        <v>#REF!</v>
      </c>
      <c r="L401" s="556" t="e">
        <f t="shared" si="61"/>
        <v>#REF!</v>
      </c>
      <c r="M401" s="556" t="e">
        <f t="shared" si="62"/>
        <v>#REF!</v>
      </c>
      <c r="N401" s="557" t="e">
        <f>NCong!#REF!</f>
        <v>#REF!</v>
      </c>
    </row>
    <row r="402" spans="1:14" ht="30" customHeight="1">
      <c r="A402" s="546" t="e">
        <f>NCong!#REF!</f>
        <v>#REF!</v>
      </c>
      <c r="B402" s="559" t="e">
        <f>NCong!#REF!</f>
        <v>#REF!</v>
      </c>
      <c r="C402" s="548" t="e">
        <f>NCong!#REF!</f>
        <v>#REF!</v>
      </c>
      <c r="D402" s="548" t="e">
        <f>NCong!#REF!</f>
        <v>#REF!</v>
      </c>
      <c r="E402" s="550" t="e">
        <f>NCong!#REF!</f>
        <v>#REF!</v>
      </c>
      <c r="F402" s="550"/>
      <c r="G402" s="550"/>
      <c r="H402" s="550"/>
      <c r="I402" s="550"/>
      <c r="J402" s="550"/>
      <c r="K402" s="550" t="e">
        <f t="shared" si="60"/>
        <v>#REF!</v>
      </c>
      <c r="L402" s="550" t="e">
        <f t="shared" si="61"/>
        <v>#REF!</v>
      </c>
      <c r="M402" s="550" t="e">
        <f t="shared" si="62"/>
        <v>#REF!</v>
      </c>
      <c r="N402" s="551" t="e">
        <f>NCong!#REF!</f>
        <v>#REF!</v>
      </c>
    </row>
    <row r="403" spans="1:14" s="566" customFormat="1" ht="30" customHeight="1">
      <c r="A403" s="560" t="e">
        <f>NCong!#REF!</f>
        <v>#REF!</v>
      </c>
      <c r="B403" s="561" t="e">
        <f>NCong!#REF!</f>
        <v>#REF!</v>
      </c>
      <c r="C403" s="562" t="e">
        <f>NCong!#REF!</f>
        <v>#REF!</v>
      </c>
      <c r="D403" s="562"/>
      <c r="E403" s="564" t="e">
        <f>NCong!#REF!</f>
        <v>#REF!</v>
      </c>
      <c r="F403" s="564"/>
      <c r="G403" s="564"/>
      <c r="H403" s="564"/>
      <c r="I403" s="564"/>
      <c r="J403" s="564"/>
      <c r="K403" s="564" t="e">
        <f t="shared" si="60"/>
        <v>#REF!</v>
      </c>
      <c r="L403" s="564" t="e">
        <f t="shared" si="61"/>
        <v>#REF!</v>
      </c>
      <c r="M403" s="564" t="e">
        <f t="shared" si="62"/>
        <v>#REF!</v>
      </c>
      <c r="N403" s="565" t="e">
        <f>NCong!#REF!</f>
        <v>#REF!</v>
      </c>
    </row>
    <row r="404" spans="1:14" s="566" customFormat="1" ht="39.950000000000003" customHeight="1">
      <c r="A404" s="560" t="e">
        <f>NCong!#REF!</f>
        <v>#REF!</v>
      </c>
      <c r="B404" s="561" t="e">
        <f>NCong!#REF!</f>
        <v>#REF!</v>
      </c>
      <c r="C404" s="562" t="e">
        <f>NCong!#REF!</f>
        <v>#REF!</v>
      </c>
      <c r="D404" s="562"/>
      <c r="E404" s="564" t="e">
        <f>NCong!#REF!</f>
        <v>#REF!</v>
      </c>
      <c r="F404" s="564"/>
      <c r="G404" s="564"/>
      <c r="H404" s="564"/>
      <c r="I404" s="564"/>
      <c r="J404" s="564"/>
      <c r="K404" s="564" t="e">
        <f t="shared" si="60"/>
        <v>#REF!</v>
      </c>
      <c r="L404" s="564" t="e">
        <f t="shared" si="61"/>
        <v>#REF!</v>
      </c>
      <c r="M404" s="564" t="e">
        <f t="shared" si="62"/>
        <v>#REF!</v>
      </c>
      <c r="N404" s="565" t="e">
        <f>NCong!#REF!</f>
        <v>#REF!</v>
      </c>
    </row>
    <row r="405" spans="1:14" s="566" customFormat="1" ht="30" customHeight="1">
      <c r="A405" s="560" t="e">
        <f>NCong!#REF!</f>
        <v>#REF!</v>
      </c>
      <c r="B405" s="561" t="e">
        <f>NCong!#REF!</f>
        <v>#REF!</v>
      </c>
      <c r="C405" s="562" t="e">
        <f>NCong!#REF!</f>
        <v>#REF!</v>
      </c>
      <c r="D405" s="562"/>
      <c r="E405" s="564" t="e">
        <f>NCong!#REF!</f>
        <v>#REF!</v>
      </c>
      <c r="F405" s="564"/>
      <c r="G405" s="564"/>
      <c r="H405" s="564"/>
      <c r="I405" s="564"/>
      <c r="J405" s="564"/>
      <c r="K405" s="564" t="e">
        <f t="shared" si="60"/>
        <v>#REF!</v>
      </c>
      <c r="L405" s="564" t="e">
        <f t="shared" si="61"/>
        <v>#REF!</v>
      </c>
      <c r="M405" s="564" t="e">
        <f t="shared" si="62"/>
        <v>#REF!</v>
      </c>
      <c r="N405" s="565" t="e">
        <f>NCong!#REF!</f>
        <v>#REF!</v>
      </c>
    </row>
    <row r="406" spans="1:14" s="566" customFormat="1" ht="30" customHeight="1">
      <c r="A406" s="560" t="e">
        <f>NCong!#REF!</f>
        <v>#REF!</v>
      </c>
      <c r="B406" s="561" t="e">
        <f>NCong!#REF!</f>
        <v>#REF!</v>
      </c>
      <c r="C406" s="562" t="e">
        <f>NCong!#REF!</f>
        <v>#REF!</v>
      </c>
      <c r="D406" s="562"/>
      <c r="E406" s="564" t="e">
        <f>NCong!#REF!</f>
        <v>#REF!</v>
      </c>
      <c r="F406" s="564"/>
      <c r="G406" s="564"/>
      <c r="H406" s="564"/>
      <c r="I406" s="564"/>
      <c r="J406" s="564"/>
      <c r="K406" s="564" t="e">
        <f t="shared" si="60"/>
        <v>#REF!</v>
      </c>
      <c r="L406" s="564" t="e">
        <f t="shared" si="61"/>
        <v>#REF!</v>
      </c>
      <c r="M406" s="564" t="e">
        <f t="shared" si="62"/>
        <v>#REF!</v>
      </c>
      <c r="N406" s="565" t="e">
        <f>NCong!#REF!</f>
        <v>#REF!</v>
      </c>
    </row>
    <row r="407" spans="1:14" s="566" customFormat="1" ht="60" customHeight="1">
      <c r="A407" s="560" t="e">
        <f>NCong!#REF!</f>
        <v>#REF!</v>
      </c>
      <c r="B407" s="561" t="e">
        <f>NCong!#REF!</f>
        <v>#REF!</v>
      </c>
      <c r="C407" s="562" t="e">
        <f>NCong!#REF!</f>
        <v>#REF!</v>
      </c>
      <c r="D407" s="562"/>
      <c r="E407" s="564" t="e">
        <f>NCong!#REF!</f>
        <v>#REF!</v>
      </c>
      <c r="F407" s="564"/>
      <c r="G407" s="564"/>
      <c r="H407" s="564"/>
      <c r="I407" s="564"/>
      <c r="J407" s="564"/>
      <c r="K407" s="564" t="e">
        <f t="shared" si="60"/>
        <v>#REF!</v>
      </c>
      <c r="L407" s="564" t="e">
        <f t="shared" si="61"/>
        <v>#REF!</v>
      </c>
      <c r="M407" s="564" t="e">
        <f t="shared" si="62"/>
        <v>#REF!</v>
      </c>
      <c r="N407" s="565" t="e">
        <f>NCong!#REF!</f>
        <v>#REF!</v>
      </c>
    </row>
    <row r="408" spans="1:14" s="566" customFormat="1" ht="30" customHeight="1">
      <c r="A408" s="560" t="e">
        <f>NCong!#REF!</f>
        <v>#REF!</v>
      </c>
      <c r="B408" s="561" t="e">
        <f>NCong!#REF!</f>
        <v>#REF!</v>
      </c>
      <c r="C408" s="562" t="e">
        <f>NCong!#REF!</f>
        <v>#REF!</v>
      </c>
      <c r="D408" s="562"/>
      <c r="E408" s="564" t="e">
        <f>NCong!#REF!</f>
        <v>#REF!</v>
      </c>
      <c r="F408" s="564"/>
      <c r="G408" s="564"/>
      <c r="H408" s="564"/>
      <c r="I408" s="564"/>
      <c r="J408" s="564"/>
      <c r="K408" s="564" t="e">
        <f t="shared" si="60"/>
        <v>#REF!</v>
      </c>
      <c r="L408" s="564" t="e">
        <f t="shared" si="61"/>
        <v>#REF!</v>
      </c>
      <c r="M408" s="564" t="e">
        <f t="shared" si="62"/>
        <v>#REF!</v>
      </c>
      <c r="N408" s="565" t="e">
        <f>NCong!#REF!</f>
        <v>#REF!</v>
      </c>
    </row>
    <row r="409" spans="1:14" s="544" customFormat="1" ht="35.1" customHeight="1">
      <c r="A409" s="539" t="e">
        <f>NCong!#REF!</f>
        <v>#REF!</v>
      </c>
      <c r="B409" s="545" t="e">
        <f>NCong!#REF!</f>
        <v>#REF!</v>
      </c>
      <c r="C409" s="540" t="s">
        <v>53</v>
      </c>
      <c r="D409" s="541" t="s">
        <v>204</v>
      </c>
      <c r="E409" s="589" t="e">
        <f>NCong!#REF!</f>
        <v>#REF!</v>
      </c>
      <c r="F409" s="589"/>
      <c r="G409" s="589">
        <f>Dcu!L152</f>
        <v>719.62831196581192</v>
      </c>
      <c r="H409" s="589" t="e">
        <f>VLieu!#REF!</f>
        <v>#REF!</v>
      </c>
      <c r="I409" s="589" t="e">
        <f>Tbi!#REF!</f>
        <v>#REF!</v>
      </c>
      <c r="J409" s="589" t="e">
        <f>Tbi!#REF!+Dcu!L148</f>
        <v>#REF!</v>
      </c>
      <c r="K409" s="589" t="e">
        <f t="shared" si="60"/>
        <v>#REF!</v>
      </c>
      <c r="L409" s="589" t="e">
        <f t="shared" si="61"/>
        <v>#REF!</v>
      </c>
      <c r="M409" s="589" t="e">
        <f t="shared" si="62"/>
        <v>#REF!</v>
      </c>
      <c r="N409" s="590" t="e">
        <f>NCong!#REF!</f>
        <v>#REF!</v>
      </c>
    </row>
    <row r="410" spans="1:14" s="534" customFormat="1" ht="30" customHeight="1">
      <c r="A410" s="578" t="e">
        <f>NCong!#REF!</f>
        <v>#REF!</v>
      </c>
      <c r="B410" s="579" t="e">
        <f>NCong!#REF!</f>
        <v>#REF!</v>
      </c>
      <c r="C410" s="569"/>
      <c r="D410" s="569"/>
      <c r="E410" s="586" t="e">
        <f>NCong!#REF!</f>
        <v>#REF!</v>
      </c>
      <c r="F410" s="586"/>
      <c r="G410" s="586"/>
      <c r="H410" s="586"/>
      <c r="I410" s="586"/>
      <c r="J410" s="586"/>
      <c r="K410" s="586"/>
      <c r="L410" s="586"/>
      <c r="M410" s="586"/>
      <c r="N410" s="591"/>
    </row>
    <row r="411" spans="1:14" ht="39.950000000000003" customHeight="1">
      <c r="A411" s="1842" t="e">
        <f>NCong!#REF!</f>
        <v>#REF!</v>
      </c>
      <c r="B411" s="1813" t="e">
        <f>NCong!#REF!</f>
        <v>#REF!</v>
      </c>
      <c r="C411" s="548" t="s">
        <v>53</v>
      </c>
      <c r="D411" s="548">
        <v>2</v>
      </c>
      <c r="E411" s="547" t="e">
        <f t="shared" ref="E411:J414" si="63">E390*1.3</f>
        <v>#REF!</v>
      </c>
      <c r="F411" s="547" t="e">
        <f t="shared" si="63"/>
        <v>#REF!</v>
      </c>
      <c r="G411" s="547">
        <f t="shared" si="63"/>
        <v>12563.292763888892</v>
      </c>
      <c r="H411" s="547" t="e">
        <f t="shared" si="63"/>
        <v>#REF!</v>
      </c>
      <c r="I411" s="547" t="e">
        <f t="shared" si="63"/>
        <v>#REF!</v>
      </c>
      <c r="J411" s="547" t="e">
        <f t="shared" si="63"/>
        <v>#REF!</v>
      </c>
      <c r="K411" s="547" t="e">
        <f t="shared" ref="K411:K443" si="64">SUM(E411:J411)</f>
        <v>#REF!</v>
      </c>
      <c r="L411" s="547" t="e">
        <f t="shared" ref="L411:L443" si="65">$L$4*K411</f>
        <v>#REF!</v>
      </c>
      <c r="M411" s="547" t="e">
        <f t="shared" ref="M411:M443" si="66">K411+L411</f>
        <v>#REF!</v>
      </c>
      <c r="N411" s="592" t="e">
        <f>N390*1.3</f>
        <v>#REF!</v>
      </c>
    </row>
    <row r="412" spans="1:14" ht="39.950000000000003" customHeight="1">
      <c r="A412" s="1842"/>
      <c r="B412" s="1813"/>
      <c r="C412" s="548" t="s">
        <v>53</v>
      </c>
      <c r="D412" s="548">
        <v>3</v>
      </c>
      <c r="E412" s="547" t="e">
        <f t="shared" si="63"/>
        <v>#REF!</v>
      </c>
      <c r="F412" s="547" t="e">
        <f t="shared" si="63"/>
        <v>#REF!</v>
      </c>
      <c r="G412" s="547">
        <f t="shared" si="63"/>
        <v>13175.280972222225</v>
      </c>
      <c r="H412" s="547" t="e">
        <f t="shared" si="63"/>
        <v>#REF!</v>
      </c>
      <c r="I412" s="547" t="e">
        <f t="shared" si="63"/>
        <v>#REF!</v>
      </c>
      <c r="J412" s="547" t="e">
        <f t="shared" si="63"/>
        <v>#REF!</v>
      </c>
      <c r="K412" s="547" t="e">
        <f>SUM(E412:J412)</f>
        <v>#REF!</v>
      </c>
      <c r="L412" s="547" t="e">
        <f>$L$4*K412</f>
        <v>#REF!</v>
      </c>
      <c r="M412" s="547" t="e">
        <f>K412+L412</f>
        <v>#REF!</v>
      </c>
      <c r="N412" s="592" t="e">
        <f>N391*1.3</f>
        <v>#REF!</v>
      </c>
    </row>
    <row r="413" spans="1:14" ht="39.950000000000003" customHeight="1">
      <c r="A413" s="1842"/>
      <c r="B413" s="1813"/>
      <c r="C413" s="548" t="s">
        <v>53</v>
      </c>
      <c r="D413" s="548">
        <v>4</v>
      </c>
      <c r="E413" s="547" t="e">
        <f t="shared" si="63"/>
        <v>#REF!</v>
      </c>
      <c r="F413" s="547" t="e">
        <f t="shared" si="63"/>
        <v>#REF!</v>
      </c>
      <c r="G413" s="547">
        <f t="shared" si="63"/>
        <v>13787.269180555557</v>
      </c>
      <c r="H413" s="547" t="e">
        <f t="shared" si="63"/>
        <v>#REF!</v>
      </c>
      <c r="I413" s="547" t="e">
        <f t="shared" si="63"/>
        <v>#REF!</v>
      </c>
      <c r="J413" s="547" t="e">
        <f t="shared" si="63"/>
        <v>#REF!</v>
      </c>
      <c r="K413" s="547" t="e">
        <f>SUM(E413:J413)</f>
        <v>#REF!</v>
      </c>
      <c r="L413" s="547" t="e">
        <f>$L$4*K413</f>
        <v>#REF!</v>
      </c>
      <c r="M413" s="547" t="e">
        <f>K413+L413</f>
        <v>#REF!</v>
      </c>
      <c r="N413" s="592" t="e">
        <f>N392*1.3</f>
        <v>#REF!</v>
      </c>
    </row>
    <row r="414" spans="1:14" ht="39.950000000000003" customHeight="1">
      <c r="A414" s="1842"/>
      <c r="B414" s="1813"/>
      <c r="C414" s="548" t="s">
        <v>53</v>
      </c>
      <c r="D414" s="548">
        <v>5</v>
      </c>
      <c r="E414" s="547" t="e">
        <f t="shared" si="63"/>
        <v>#REF!</v>
      </c>
      <c r="F414" s="547" t="e">
        <f t="shared" si="63"/>
        <v>#REF!</v>
      </c>
      <c r="G414" s="547">
        <f t="shared" si="63"/>
        <v>14399.257388888891</v>
      </c>
      <c r="H414" s="547" t="e">
        <f t="shared" si="63"/>
        <v>#REF!</v>
      </c>
      <c r="I414" s="547" t="e">
        <f t="shared" si="63"/>
        <v>#REF!</v>
      </c>
      <c r="J414" s="547" t="e">
        <f t="shared" si="63"/>
        <v>#REF!</v>
      </c>
      <c r="K414" s="547" t="e">
        <f>SUM(E414:J414)</f>
        <v>#REF!</v>
      </c>
      <c r="L414" s="547" t="e">
        <f>$L$4*K414</f>
        <v>#REF!</v>
      </c>
      <c r="M414" s="547" t="e">
        <f>K414+L414</f>
        <v>#REF!</v>
      </c>
      <c r="N414" s="592" t="e">
        <f>N393*1.3</f>
        <v>#REF!</v>
      </c>
    </row>
    <row r="415" spans="1:14" ht="35.1" customHeight="1">
      <c r="A415" s="1842" t="e">
        <f>NCong!#REF!</f>
        <v>#REF!</v>
      </c>
      <c r="B415" s="1813" t="e">
        <f>NCong!#REF!</f>
        <v>#REF!</v>
      </c>
      <c r="C415" s="548" t="s">
        <v>53</v>
      </c>
      <c r="D415" s="548">
        <v>2</v>
      </c>
      <c r="E415" s="547" t="e">
        <f>0.3*SUM(NCong!#REF!,NCong!#REF!,NCong!#REF!,NCong!#REF!,NCong!#REF!,NCong!#REF!,NCong!#REF!,NCong!#REF!,NCong!#REF!,NCong!#REF!,NCong!#REF!,NCong!#REF!,NCong!#REF!,NCong!#REF!)</f>
        <v>#REF!</v>
      </c>
      <c r="F415" s="547" t="e">
        <f>NCong!#REF!</f>
        <v>#REF!</v>
      </c>
      <c r="G415" s="547"/>
      <c r="H415" s="547"/>
      <c r="I415" s="547"/>
      <c r="J415" s="547"/>
      <c r="K415" s="547" t="e">
        <f t="shared" si="64"/>
        <v>#REF!</v>
      </c>
      <c r="L415" s="547" t="e">
        <f t="shared" si="65"/>
        <v>#REF!</v>
      </c>
      <c r="M415" s="547" t="e">
        <f t="shared" si="66"/>
        <v>#REF!</v>
      </c>
      <c r="N415" s="592" t="e">
        <f>0.3*SUM(NCong!#REF!,NCong!#REF!,NCong!#REF!,NCong!#REF!,NCong!#REF!,NCong!#REF!,NCong!#REF!,NCong!#REF!,NCong!#REF!,NCong!#REF!,NCong!#REF!,NCong!#REF!,NCong!#REF!,NCong!#REF!)</f>
        <v>#REF!</v>
      </c>
    </row>
    <row r="416" spans="1:14" ht="35.1" customHeight="1">
      <c r="A416" s="1842"/>
      <c r="B416" s="1813"/>
      <c r="C416" s="548" t="s">
        <v>53</v>
      </c>
      <c r="D416" s="548">
        <v>3</v>
      </c>
      <c r="E416" s="547" t="e">
        <f>0.3*SUM(NCong!#REF!,NCong!#REF!,NCong!#REF!,NCong!#REF!,NCong!#REF!,NCong!#REF!,NCong!#REF!,NCong!#REF!,NCong!#REF!,NCong!#REF!,NCong!#REF!,NCong!#REF!,NCong!#REF!,NCong!#REF!)</f>
        <v>#REF!</v>
      </c>
      <c r="F416" s="547" t="e">
        <f>NCong!#REF!</f>
        <v>#REF!</v>
      </c>
      <c r="G416" s="547"/>
      <c r="H416" s="547"/>
      <c r="I416" s="547"/>
      <c r="J416" s="547"/>
      <c r="K416" s="547" t="e">
        <f>SUM(E416:J416)</f>
        <v>#REF!</v>
      </c>
      <c r="L416" s="547" t="e">
        <f>$L$4*K416</f>
        <v>#REF!</v>
      </c>
      <c r="M416" s="547" t="e">
        <f>K416+L416</f>
        <v>#REF!</v>
      </c>
      <c r="N416" s="592" t="e">
        <f>0.3*SUM(NCong!#REF!,NCong!#REF!,NCong!#REF!,NCong!#REF!,NCong!#REF!,NCong!#REF!,NCong!#REF!,NCong!#REF!,NCong!#REF!,NCong!#REF!,NCong!#REF!,NCong!#REF!,NCong!#REF!,NCong!#REF!)</f>
        <v>#REF!</v>
      </c>
    </row>
    <row r="417" spans="1:14" ht="35.1" customHeight="1">
      <c r="A417" s="1842"/>
      <c r="B417" s="1813"/>
      <c r="C417" s="548" t="s">
        <v>53</v>
      </c>
      <c r="D417" s="548">
        <v>4</v>
      </c>
      <c r="E417" s="547" t="e">
        <f>0.3*SUM(NCong!#REF!,NCong!#REF!,NCong!#REF!,NCong!#REF!,NCong!#REF!,NCong!#REF!,NCong!#REF!,NCong!#REF!,NCong!#REF!,NCong!#REF!,NCong!#REF!,NCong!#REF!,NCong!#REF!,NCong!#REF!)</f>
        <v>#REF!</v>
      </c>
      <c r="F417" s="547" t="e">
        <f>NCong!#REF!</f>
        <v>#REF!</v>
      </c>
      <c r="G417" s="547"/>
      <c r="H417" s="547"/>
      <c r="I417" s="547"/>
      <c r="J417" s="547"/>
      <c r="K417" s="547" t="e">
        <f>SUM(E417:J417)</f>
        <v>#REF!</v>
      </c>
      <c r="L417" s="547" t="e">
        <f>$L$4*K417</f>
        <v>#REF!</v>
      </c>
      <c r="M417" s="547" t="e">
        <f>K417+L417</f>
        <v>#REF!</v>
      </c>
      <c r="N417" s="592" t="e">
        <f>0.3*SUM(NCong!#REF!,NCong!#REF!,NCong!#REF!,NCong!#REF!,NCong!#REF!,NCong!#REF!,NCong!#REF!,NCong!#REF!,NCong!#REF!,NCong!#REF!,NCong!#REF!,NCong!#REF!,NCong!#REF!,NCong!#REF!)</f>
        <v>#REF!</v>
      </c>
    </row>
    <row r="418" spans="1:14" ht="35.1" customHeight="1">
      <c r="A418" s="1842"/>
      <c r="B418" s="1813"/>
      <c r="C418" s="548" t="s">
        <v>53</v>
      </c>
      <c r="D418" s="548">
        <v>5</v>
      </c>
      <c r="E418" s="547" t="e">
        <f>0.3*SUM(NCong!#REF!,NCong!#REF!,NCong!#REF!,NCong!#REF!,NCong!#REF!,NCong!#REF!,NCong!#REF!,NCong!#REF!,NCong!#REF!,NCong!#REF!,NCong!#REF!,NCong!#REF!,NCong!#REF!,NCong!#REF!)</f>
        <v>#REF!</v>
      </c>
      <c r="F418" s="547" t="e">
        <f>NCong!#REF!</f>
        <v>#REF!</v>
      </c>
      <c r="G418" s="547"/>
      <c r="H418" s="547"/>
      <c r="I418" s="547"/>
      <c r="J418" s="547"/>
      <c r="K418" s="547" t="e">
        <f>SUM(E418:J418)</f>
        <v>#REF!</v>
      </c>
      <c r="L418" s="547" t="e">
        <f>$L$4*K418</f>
        <v>#REF!</v>
      </c>
      <c r="M418" s="547" t="e">
        <f>K418+L418</f>
        <v>#REF!</v>
      </c>
      <c r="N418" s="592" t="e">
        <f>0.3*SUM(NCong!#REF!,NCong!#REF!,NCong!#REF!,NCong!#REF!,NCong!#REF!,NCong!#REF!,NCong!#REF!,NCong!#REF!,NCong!#REF!,NCong!#REF!,NCong!#REF!,NCong!#REF!,NCong!#REF!,NCong!#REF!)</f>
        <v>#REF!</v>
      </c>
    </row>
    <row r="419" spans="1:14" ht="35.1" customHeight="1">
      <c r="A419" s="1842" t="e">
        <f>NCong!#REF!</f>
        <v>#REF!</v>
      </c>
      <c r="B419" s="1813" t="e">
        <f>NCong!#REF!</f>
        <v>#REF!</v>
      </c>
      <c r="C419" s="548" t="s">
        <v>53</v>
      </c>
      <c r="D419" s="548">
        <v>2</v>
      </c>
      <c r="E419" s="547" t="e">
        <f t="shared" ref="E419:J422" si="67">E44</f>
        <v>#REF!</v>
      </c>
      <c r="F419" s="547" t="e">
        <f t="shared" si="67"/>
        <v>#REF!</v>
      </c>
      <c r="G419" s="547">
        <f t="shared" si="67"/>
        <v>7933.4618910256413</v>
      </c>
      <c r="H419" s="547" t="e">
        <f t="shared" si="67"/>
        <v>#REF!</v>
      </c>
      <c r="I419" s="547" t="e">
        <f t="shared" si="67"/>
        <v>#REF!</v>
      </c>
      <c r="J419" s="547" t="e">
        <f t="shared" si="67"/>
        <v>#REF!</v>
      </c>
      <c r="K419" s="547" t="e">
        <f t="shared" si="64"/>
        <v>#REF!</v>
      </c>
      <c r="L419" s="547" t="e">
        <f t="shared" si="65"/>
        <v>#REF!</v>
      </c>
      <c r="M419" s="547" t="e">
        <f t="shared" si="66"/>
        <v>#REF!</v>
      </c>
      <c r="N419" s="592" t="e">
        <f>N44</f>
        <v>#REF!</v>
      </c>
    </row>
    <row r="420" spans="1:14" ht="35.1" customHeight="1">
      <c r="A420" s="1842"/>
      <c r="B420" s="1813"/>
      <c r="C420" s="548" t="s">
        <v>53</v>
      </c>
      <c r="D420" s="548">
        <v>3</v>
      </c>
      <c r="E420" s="547" t="e">
        <f t="shared" si="67"/>
        <v>#REF!</v>
      </c>
      <c r="F420" s="547" t="e">
        <f t="shared" si="67"/>
        <v>#REF!</v>
      </c>
      <c r="G420" s="547">
        <f t="shared" si="67"/>
        <v>8319.8948717948733</v>
      </c>
      <c r="H420" s="547" t="e">
        <f t="shared" si="67"/>
        <v>#REF!</v>
      </c>
      <c r="I420" s="547" t="e">
        <f t="shared" si="67"/>
        <v>#REF!</v>
      </c>
      <c r="J420" s="547" t="e">
        <f t="shared" si="67"/>
        <v>#REF!</v>
      </c>
      <c r="K420" s="547" t="e">
        <f>SUM(E420:J420)</f>
        <v>#REF!</v>
      </c>
      <c r="L420" s="547" t="e">
        <f>$L$4*K420</f>
        <v>#REF!</v>
      </c>
      <c r="M420" s="547" t="e">
        <f>K420+L420</f>
        <v>#REF!</v>
      </c>
      <c r="N420" s="592" t="e">
        <f>N45</f>
        <v>#REF!</v>
      </c>
    </row>
    <row r="421" spans="1:14" ht="35.1" customHeight="1">
      <c r="A421" s="1842"/>
      <c r="B421" s="1813"/>
      <c r="C421" s="548" t="s">
        <v>53</v>
      </c>
      <c r="D421" s="548">
        <v>4</v>
      </c>
      <c r="E421" s="547" t="e">
        <f t="shared" si="67"/>
        <v>#REF!</v>
      </c>
      <c r="F421" s="547" t="e">
        <f t="shared" si="67"/>
        <v>#REF!</v>
      </c>
      <c r="G421" s="547">
        <f t="shared" si="67"/>
        <v>8706.3278525641035</v>
      </c>
      <c r="H421" s="547" t="e">
        <f t="shared" si="67"/>
        <v>#REF!</v>
      </c>
      <c r="I421" s="547" t="e">
        <f t="shared" si="67"/>
        <v>#REF!</v>
      </c>
      <c r="J421" s="547" t="e">
        <f t="shared" si="67"/>
        <v>#REF!</v>
      </c>
      <c r="K421" s="547" t="e">
        <f>SUM(E421:J421)</f>
        <v>#REF!</v>
      </c>
      <c r="L421" s="547" t="e">
        <f>$L$4*K421</f>
        <v>#REF!</v>
      </c>
      <c r="M421" s="547" t="e">
        <f>K421+L421</f>
        <v>#REF!</v>
      </c>
      <c r="N421" s="592" t="e">
        <f>N46</f>
        <v>#REF!</v>
      </c>
    </row>
    <row r="422" spans="1:14" ht="35.1" customHeight="1">
      <c r="A422" s="1842"/>
      <c r="B422" s="1813"/>
      <c r="C422" s="548" t="s">
        <v>53</v>
      </c>
      <c r="D422" s="548">
        <v>5</v>
      </c>
      <c r="E422" s="547" t="e">
        <f t="shared" si="67"/>
        <v>#REF!</v>
      </c>
      <c r="F422" s="547" t="e">
        <f t="shared" si="67"/>
        <v>#REF!</v>
      </c>
      <c r="G422" s="547">
        <f t="shared" si="67"/>
        <v>9092.7608333333337</v>
      </c>
      <c r="H422" s="547" t="e">
        <f t="shared" si="67"/>
        <v>#REF!</v>
      </c>
      <c r="I422" s="547" t="e">
        <f t="shared" si="67"/>
        <v>#REF!</v>
      </c>
      <c r="J422" s="547" t="e">
        <f t="shared" si="67"/>
        <v>#REF!</v>
      </c>
      <c r="K422" s="547" t="e">
        <f>SUM(E422:J422)</f>
        <v>#REF!</v>
      </c>
      <c r="L422" s="547" t="e">
        <f>$L$4*K422</f>
        <v>#REF!</v>
      </c>
      <c r="M422" s="547" t="e">
        <f>K422+L422</f>
        <v>#REF!</v>
      </c>
      <c r="N422" s="592" t="e">
        <f>N47</f>
        <v>#REF!</v>
      </c>
    </row>
    <row r="423" spans="1:14" ht="35.1" customHeight="1">
      <c r="A423" s="1842" t="e">
        <f>NCong!#REF!</f>
        <v>#REF!</v>
      </c>
      <c r="B423" s="1813" t="e">
        <f>NCong!#REF!</f>
        <v>#REF!</v>
      </c>
      <c r="C423" s="548" t="s">
        <v>53</v>
      </c>
      <c r="D423" s="548">
        <v>2</v>
      </c>
      <c r="E423" s="547" t="e">
        <f>E390+NCong!#REF!*0.5</f>
        <v>#REF!</v>
      </c>
      <c r="F423" s="547" t="e">
        <f t="shared" ref="F423:J426" si="68">F390</f>
        <v>#REF!</v>
      </c>
      <c r="G423" s="547">
        <f t="shared" si="68"/>
        <v>9664.0713568376086</v>
      </c>
      <c r="H423" s="547" t="e">
        <f t="shared" si="68"/>
        <v>#REF!</v>
      </c>
      <c r="I423" s="547" t="e">
        <f t="shared" si="68"/>
        <v>#REF!</v>
      </c>
      <c r="J423" s="547" t="e">
        <f t="shared" si="68"/>
        <v>#REF!</v>
      </c>
      <c r="K423" s="547" t="e">
        <f t="shared" si="64"/>
        <v>#REF!</v>
      </c>
      <c r="L423" s="547" t="e">
        <f t="shared" si="65"/>
        <v>#REF!</v>
      </c>
      <c r="M423" s="547" t="e">
        <f t="shared" si="66"/>
        <v>#REF!</v>
      </c>
      <c r="N423" s="592" t="e">
        <f>N390+NCong!#REF!*0.5</f>
        <v>#REF!</v>
      </c>
    </row>
    <row r="424" spans="1:14" ht="35.1" customHeight="1">
      <c r="A424" s="1842"/>
      <c r="B424" s="1813"/>
      <c r="C424" s="548" t="s">
        <v>53</v>
      </c>
      <c r="D424" s="548">
        <v>3</v>
      </c>
      <c r="E424" s="547" t="e">
        <f>E391+NCong!#REF!*0.5</f>
        <v>#REF!</v>
      </c>
      <c r="F424" s="547" t="e">
        <f t="shared" si="68"/>
        <v>#REF!</v>
      </c>
      <c r="G424" s="547">
        <f t="shared" si="68"/>
        <v>10134.831517094019</v>
      </c>
      <c r="H424" s="547" t="e">
        <f t="shared" si="68"/>
        <v>#REF!</v>
      </c>
      <c r="I424" s="547" t="e">
        <f t="shared" si="68"/>
        <v>#REF!</v>
      </c>
      <c r="J424" s="547" t="e">
        <f t="shared" si="68"/>
        <v>#REF!</v>
      </c>
      <c r="K424" s="547" t="e">
        <f t="shared" si="64"/>
        <v>#REF!</v>
      </c>
      <c r="L424" s="547" t="e">
        <f t="shared" si="65"/>
        <v>#REF!</v>
      </c>
      <c r="M424" s="547" t="e">
        <f t="shared" si="66"/>
        <v>#REF!</v>
      </c>
      <c r="N424" s="592" t="e">
        <f>N391+NCong!#REF!*0.5</f>
        <v>#REF!</v>
      </c>
    </row>
    <row r="425" spans="1:14" ht="35.1" customHeight="1">
      <c r="A425" s="1842"/>
      <c r="B425" s="1813"/>
      <c r="C425" s="548" t="s">
        <v>53</v>
      </c>
      <c r="D425" s="548">
        <v>4</v>
      </c>
      <c r="E425" s="547" t="e">
        <f>E392+NCong!#REF!*0.5</f>
        <v>#REF!</v>
      </c>
      <c r="F425" s="547" t="e">
        <f t="shared" si="68"/>
        <v>#REF!</v>
      </c>
      <c r="G425" s="547">
        <f t="shared" si="68"/>
        <v>10605.591677350429</v>
      </c>
      <c r="H425" s="547" t="e">
        <f t="shared" si="68"/>
        <v>#REF!</v>
      </c>
      <c r="I425" s="547" t="e">
        <f t="shared" si="68"/>
        <v>#REF!</v>
      </c>
      <c r="J425" s="547" t="e">
        <f t="shared" si="68"/>
        <v>#REF!</v>
      </c>
      <c r="K425" s="547" t="e">
        <f t="shared" si="64"/>
        <v>#REF!</v>
      </c>
      <c r="L425" s="547" t="e">
        <f t="shared" si="65"/>
        <v>#REF!</v>
      </c>
      <c r="M425" s="547" t="e">
        <f t="shared" si="66"/>
        <v>#REF!</v>
      </c>
      <c r="N425" s="592" t="e">
        <f>N392+NCong!#REF!*0.5</f>
        <v>#REF!</v>
      </c>
    </row>
    <row r="426" spans="1:14" ht="35.1" customHeight="1">
      <c r="A426" s="1842"/>
      <c r="B426" s="1813"/>
      <c r="C426" s="548" t="s">
        <v>53</v>
      </c>
      <c r="D426" s="548">
        <v>5</v>
      </c>
      <c r="E426" s="547" t="e">
        <f>E393+NCong!#REF!*0.5</f>
        <v>#REF!</v>
      </c>
      <c r="F426" s="547" t="e">
        <f t="shared" si="68"/>
        <v>#REF!</v>
      </c>
      <c r="G426" s="547">
        <f t="shared" si="68"/>
        <v>11076.351837606839</v>
      </c>
      <c r="H426" s="547" t="e">
        <f t="shared" si="68"/>
        <v>#REF!</v>
      </c>
      <c r="I426" s="547" t="e">
        <f t="shared" si="68"/>
        <v>#REF!</v>
      </c>
      <c r="J426" s="547" t="e">
        <f t="shared" si="68"/>
        <v>#REF!</v>
      </c>
      <c r="K426" s="547" t="e">
        <f t="shared" si="64"/>
        <v>#REF!</v>
      </c>
      <c r="L426" s="547" t="e">
        <f t="shared" si="65"/>
        <v>#REF!</v>
      </c>
      <c r="M426" s="547" t="e">
        <f t="shared" si="66"/>
        <v>#REF!</v>
      </c>
      <c r="N426" s="592" t="e">
        <f>N393+NCong!#REF!*0.5</f>
        <v>#REF!</v>
      </c>
    </row>
    <row r="427" spans="1:14" ht="35.1" customHeight="1">
      <c r="A427" s="1842" t="e">
        <f>NCong!#REF!</f>
        <v>#REF!</v>
      </c>
      <c r="B427" s="1813" t="e">
        <f>NCong!#REF!</f>
        <v>#REF!</v>
      </c>
      <c r="C427" s="548" t="s">
        <v>53</v>
      </c>
      <c r="D427" s="548">
        <v>2</v>
      </c>
      <c r="E427" s="547" t="e">
        <f t="shared" ref="E427:J430" si="69">E390*0.9</f>
        <v>#REF!</v>
      </c>
      <c r="F427" s="547" t="e">
        <f t="shared" si="69"/>
        <v>#REF!</v>
      </c>
      <c r="G427" s="547">
        <f t="shared" si="69"/>
        <v>8697.6642211538474</v>
      </c>
      <c r="H427" s="547" t="e">
        <f t="shared" si="69"/>
        <v>#REF!</v>
      </c>
      <c r="I427" s="547" t="e">
        <f t="shared" si="69"/>
        <v>#REF!</v>
      </c>
      <c r="J427" s="547" t="e">
        <f t="shared" si="69"/>
        <v>#REF!</v>
      </c>
      <c r="K427" s="547" t="e">
        <f t="shared" si="64"/>
        <v>#REF!</v>
      </c>
      <c r="L427" s="547" t="e">
        <f t="shared" si="65"/>
        <v>#REF!</v>
      </c>
      <c r="M427" s="547" t="e">
        <f t="shared" si="66"/>
        <v>#REF!</v>
      </c>
      <c r="N427" s="592" t="e">
        <f>N390*0.9</f>
        <v>#REF!</v>
      </c>
    </row>
    <row r="428" spans="1:14" ht="35.1" customHeight="1">
      <c r="A428" s="1842"/>
      <c r="B428" s="1813"/>
      <c r="C428" s="548" t="s">
        <v>53</v>
      </c>
      <c r="D428" s="548">
        <v>3</v>
      </c>
      <c r="E428" s="547" t="e">
        <f t="shared" si="69"/>
        <v>#REF!</v>
      </c>
      <c r="F428" s="547" t="e">
        <f t="shared" si="69"/>
        <v>#REF!</v>
      </c>
      <c r="G428" s="547">
        <f t="shared" si="69"/>
        <v>9121.3483653846179</v>
      </c>
      <c r="H428" s="547" t="e">
        <f t="shared" si="69"/>
        <v>#REF!</v>
      </c>
      <c r="I428" s="547" t="e">
        <f t="shared" si="69"/>
        <v>#REF!</v>
      </c>
      <c r="J428" s="547" t="e">
        <f t="shared" si="69"/>
        <v>#REF!</v>
      </c>
      <c r="K428" s="547" t="e">
        <f>SUM(E428:J428)</f>
        <v>#REF!</v>
      </c>
      <c r="L428" s="547" t="e">
        <f>$L$4*K428</f>
        <v>#REF!</v>
      </c>
      <c r="M428" s="547" t="e">
        <f>K428+L428</f>
        <v>#REF!</v>
      </c>
      <c r="N428" s="592" t="e">
        <f>N391*0.9</f>
        <v>#REF!</v>
      </c>
    </row>
    <row r="429" spans="1:14" ht="35.1" customHeight="1">
      <c r="A429" s="1842"/>
      <c r="B429" s="1813"/>
      <c r="C429" s="548" t="s">
        <v>53</v>
      </c>
      <c r="D429" s="548">
        <v>4</v>
      </c>
      <c r="E429" s="547" t="e">
        <f t="shared" si="69"/>
        <v>#REF!</v>
      </c>
      <c r="F429" s="547" t="e">
        <f t="shared" si="69"/>
        <v>#REF!</v>
      </c>
      <c r="G429" s="547">
        <f t="shared" si="69"/>
        <v>9545.0325096153865</v>
      </c>
      <c r="H429" s="547" t="e">
        <f t="shared" si="69"/>
        <v>#REF!</v>
      </c>
      <c r="I429" s="547" t="e">
        <f t="shared" si="69"/>
        <v>#REF!</v>
      </c>
      <c r="J429" s="547" t="e">
        <f t="shared" si="69"/>
        <v>#REF!</v>
      </c>
      <c r="K429" s="547" t="e">
        <f>SUM(E429:J429)</f>
        <v>#REF!</v>
      </c>
      <c r="L429" s="547" t="e">
        <f>$L$4*K429</f>
        <v>#REF!</v>
      </c>
      <c r="M429" s="547" t="e">
        <f>K429+L429</f>
        <v>#REF!</v>
      </c>
      <c r="N429" s="592" t="e">
        <f>N392*0.9</f>
        <v>#REF!</v>
      </c>
    </row>
    <row r="430" spans="1:14" ht="35.1" customHeight="1">
      <c r="A430" s="1842"/>
      <c r="B430" s="1813"/>
      <c r="C430" s="548" t="s">
        <v>53</v>
      </c>
      <c r="D430" s="548">
        <v>5</v>
      </c>
      <c r="E430" s="547" t="e">
        <f t="shared" si="69"/>
        <v>#REF!</v>
      </c>
      <c r="F430" s="547" t="e">
        <f t="shared" si="69"/>
        <v>#REF!</v>
      </c>
      <c r="G430" s="547">
        <f t="shared" si="69"/>
        <v>9968.7166538461552</v>
      </c>
      <c r="H430" s="547" t="e">
        <f t="shared" si="69"/>
        <v>#REF!</v>
      </c>
      <c r="I430" s="547" t="e">
        <f t="shared" si="69"/>
        <v>#REF!</v>
      </c>
      <c r="J430" s="547" t="e">
        <f t="shared" si="69"/>
        <v>#REF!</v>
      </c>
      <c r="K430" s="547" t="e">
        <f>SUM(E430:J430)</f>
        <v>#REF!</v>
      </c>
      <c r="L430" s="547" t="e">
        <f>$L$4*K430</f>
        <v>#REF!</v>
      </c>
      <c r="M430" s="547" t="e">
        <f>K430+L430</f>
        <v>#REF!</v>
      </c>
      <c r="N430" s="592" t="e">
        <f>N393*0.9</f>
        <v>#REF!</v>
      </c>
    </row>
    <row r="431" spans="1:14" ht="86.25" customHeight="1">
      <c r="A431" s="546" t="e">
        <f>NCong!#REF!</f>
        <v>#REF!</v>
      </c>
      <c r="B431" s="559" t="e">
        <f>NCong!#REF!</f>
        <v>#REF!</v>
      </c>
      <c r="C431" s="548"/>
      <c r="D431" s="548"/>
      <c r="E431" s="547"/>
      <c r="F431" s="547"/>
      <c r="G431" s="547"/>
      <c r="H431" s="547"/>
      <c r="I431" s="547"/>
      <c r="J431" s="547"/>
      <c r="K431" s="547">
        <f t="shared" si="64"/>
        <v>0</v>
      </c>
      <c r="L431" s="547">
        <f t="shared" si="65"/>
        <v>0</v>
      </c>
      <c r="M431" s="547">
        <f t="shared" si="66"/>
        <v>0</v>
      </c>
      <c r="N431" s="592"/>
    </row>
    <row r="432" spans="1:14" ht="74.25" customHeight="1">
      <c r="A432" s="546" t="e">
        <f>NCong!#REF!</f>
        <v>#REF!</v>
      </c>
      <c r="B432" s="559" t="e">
        <f>NCong!#REF!</f>
        <v>#REF!</v>
      </c>
      <c r="C432" s="548"/>
      <c r="D432" s="548"/>
      <c r="E432" s="547"/>
      <c r="F432" s="547"/>
      <c r="G432" s="547"/>
      <c r="H432" s="547"/>
      <c r="I432" s="547"/>
      <c r="J432" s="547"/>
      <c r="K432" s="547">
        <f t="shared" si="64"/>
        <v>0</v>
      </c>
      <c r="L432" s="547">
        <f t="shared" si="65"/>
        <v>0</v>
      </c>
      <c r="M432" s="547">
        <f t="shared" si="66"/>
        <v>0</v>
      </c>
      <c r="N432" s="592"/>
    </row>
    <row r="433" spans="1:14" s="530" customFormat="1" ht="24.95" customHeight="1">
      <c r="A433" s="587" t="str">
        <f>NCong!A304</f>
        <v>V</v>
      </c>
      <c r="B433" s="1831" t="str">
        <f>NCong!B304</f>
        <v>Đăng ký, cấp đổi, cấp lại Giấy chứng nhận riêng lẻ đối với hộ gia đình, cá nhân, cộng đồng dân cư, người gốc Việt Nam định cư ở nước ngoài.</v>
      </c>
      <c r="C433" s="1831"/>
      <c r="D433" s="1831"/>
      <c r="E433" s="1831"/>
      <c r="F433" s="1831"/>
      <c r="G433" s="1831"/>
      <c r="H433" s="1831"/>
      <c r="I433" s="1831"/>
      <c r="J433" s="1831"/>
      <c r="K433" s="1831"/>
      <c r="L433" s="1831"/>
      <c r="M433" s="1831"/>
      <c r="N433" s="1841"/>
    </row>
    <row r="434" spans="1:14" s="530" customFormat="1" ht="24.95" customHeight="1">
      <c r="A434" s="587"/>
      <c r="B434" s="1832" t="s">
        <v>516</v>
      </c>
      <c r="C434" s="1832"/>
      <c r="D434" s="1832"/>
      <c r="E434" s="1832"/>
      <c r="F434" s="1832"/>
      <c r="G434" s="1832"/>
      <c r="H434" s="1832"/>
      <c r="I434" s="1832"/>
      <c r="J434" s="1832"/>
      <c r="K434" s="1832"/>
      <c r="L434" s="1832"/>
      <c r="M434" s="1832"/>
      <c r="N434" s="1840"/>
    </row>
    <row r="435" spans="1:14" s="530" customFormat="1" ht="24.95" customHeight="1">
      <c r="A435" s="587"/>
      <c r="B435" s="588"/>
      <c r="C435" s="588" t="s">
        <v>53</v>
      </c>
      <c r="D435" s="588" t="s">
        <v>32</v>
      </c>
      <c r="E435" s="537" t="e">
        <f t="shared" ref="E435:J435" si="70">SUM(E436:E437)</f>
        <v>#REF!</v>
      </c>
      <c r="F435" s="537">
        <f t="shared" si="70"/>
        <v>0</v>
      </c>
      <c r="G435" s="537">
        <f t="shared" si="70"/>
        <v>10006.554206371795</v>
      </c>
      <c r="H435" s="537">
        <f t="shared" si="70"/>
        <v>19924.5</v>
      </c>
      <c r="I435" s="537">
        <f t="shared" si="70"/>
        <v>16531.804800000002</v>
      </c>
      <c r="J435" s="537">
        <f t="shared" si="70"/>
        <v>24046.354605000004</v>
      </c>
      <c r="K435" s="537" t="e">
        <f>SUM(E435:J435)</f>
        <v>#REF!</v>
      </c>
      <c r="L435" s="537" t="e">
        <f>$L$4*K435</f>
        <v>#REF!</v>
      </c>
      <c r="M435" s="537" t="e">
        <f>K435+L435</f>
        <v>#REF!</v>
      </c>
      <c r="N435" s="538" t="e">
        <f>SUM(N436:N437)</f>
        <v>#REF!</v>
      </c>
    </row>
    <row r="436" spans="1:14" s="544" customFormat="1" ht="39.950000000000003" customHeight="1">
      <c r="A436" s="539" t="str">
        <f>NCong!A305</f>
        <v>V.1</v>
      </c>
      <c r="B436" s="545" t="str">
        <f>NCong!B305</f>
        <v>CÁC NỘI DUNG THỰC HIỆN TẠI ĐỊA BÀN CẤP XÃ,PHƯỜNG,ĐẶC KHU</v>
      </c>
      <c r="C436" s="540" t="s">
        <v>53</v>
      </c>
      <c r="D436" s="541" t="s">
        <v>32</v>
      </c>
      <c r="E436" s="542">
        <f>NCong!K305</f>
        <v>947998.35000000009</v>
      </c>
      <c r="F436" s="542"/>
      <c r="G436" s="542">
        <f>Dcu!K175</f>
        <v>9922.1415201410255</v>
      </c>
      <c r="H436" s="542">
        <f>VLieu!I114</f>
        <v>18752.5</v>
      </c>
      <c r="I436" s="542">
        <f>Tbi!I98</f>
        <v>16531.804800000002</v>
      </c>
      <c r="J436" s="542">
        <f>Tbi!I105+Dcu!K174</f>
        <v>24015.497688000003</v>
      </c>
      <c r="K436" s="542">
        <f t="shared" si="64"/>
        <v>1017220.2940081412</v>
      </c>
      <c r="L436" s="542">
        <f t="shared" si="65"/>
        <v>152583.04410122117</v>
      </c>
      <c r="M436" s="542">
        <f t="shared" si="66"/>
        <v>1169803.3381093624</v>
      </c>
      <c r="N436" s="543">
        <f>NCong!N305</f>
        <v>61303.671000000009</v>
      </c>
    </row>
    <row r="437" spans="1:14" s="544" customFormat="1" ht="39.950000000000003" customHeight="1">
      <c r="A437" s="539" t="e">
        <f>NCong!#REF!</f>
        <v>#REF!</v>
      </c>
      <c r="B437" s="545" t="e">
        <f>NCong!#REF!</f>
        <v>#REF!</v>
      </c>
      <c r="C437" s="540" t="s">
        <v>53</v>
      </c>
      <c r="D437" s="541" t="s">
        <v>32</v>
      </c>
      <c r="E437" s="542" t="e">
        <f>NCong!#REF!</f>
        <v>#REF!</v>
      </c>
      <c r="F437" s="542"/>
      <c r="G437" s="542">
        <f>Dcu!J175</f>
        <v>84.412686230769225</v>
      </c>
      <c r="H437" s="542">
        <f>VLieu!H114</f>
        <v>1172</v>
      </c>
      <c r="I437" s="542"/>
      <c r="J437" s="542">
        <f>+Dcu!J174</f>
        <v>30.856917000000003</v>
      </c>
      <c r="K437" s="542" t="e">
        <f t="shared" si="64"/>
        <v>#REF!</v>
      </c>
      <c r="L437" s="542" t="e">
        <f t="shared" si="65"/>
        <v>#REF!</v>
      </c>
      <c r="M437" s="542" t="e">
        <f t="shared" si="66"/>
        <v>#REF!</v>
      </c>
      <c r="N437" s="543" t="e">
        <f>NCong!#REF!</f>
        <v>#REF!</v>
      </c>
    </row>
    <row r="438" spans="1:14" s="544" customFormat="1" ht="24.95" customHeight="1">
      <c r="A438" s="539" t="str">
        <f>NCong!A354</f>
        <v>V.3</v>
      </c>
      <c r="B438" s="545" t="str">
        <f>NCong!B354</f>
        <v>GHI CHÚ</v>
      </c>
      <c r="C438" s="540"/>
      <c r="D438" s="541"/>
      <c r="E438" s="542"/>
      <c r="F438" s="542"/>
      <c r="G438" s="542"/>
      <c r="H438" s="542"/>
      <c r="I438" s="542"/>
      <c r="J438" s="542"/>
      <c r="K438" s="542">
        <f t="shared" si="64"/>
        <v>0</v>
      </c>
      <c r="L438" s="542">
        <f t="shared" si="65"/>
        <v>0</v>
      </c>
      <c r="M438" s="542">
        <f t="shared" si="66"/>
        <v>0</v>
      </c>
      <c r="N438" s="543"/>
    </row>
    <row r="439" spans="1:14" ht="90" customHeight="1">
      <c r="A439" s="546" t="str">
        <f>NCong!A355</f>
        <v>1</v>
      </c>
      <c r="B439" s="559" t="str">
        <f>NCong!B355</f>
        <v>Cột “ĐM Đất” áp dụng cho trường hợp đăng ký, cấp GCN đối với đất; cột “ĐM TS” áp dụng cho trường hợp đăng ký, cấp GCN đối với tài sản; cột “ĐM Đất + TS” áp dụng đối với trường hợp đăng ký, cấp GCN đối với cả đất và tài sản gắn liền với đất</v>
      </c>
      <c r="C439" s="548"/>
      <c r="D439" s="572" t="s">
        <v>32</v>
      </c>
      <c r="E439" s="550"/>
      <c r="F439" s="550"/>
      <c r="G439" s="550"/>
      <c r="H439" s="550"/>
      <c r="I439" s="550"/>
      <c r="J439" s="550"/>
      <c r="K439" s="550">
        <f t="shared" si="64"/>
        <v>0</v>
      </c>
      <c r="L439" s="550">
        <f t="shared" si="65"/>
        <v>0</v>
      </c>
      <c r="M439" s="550">
        <f t="shared" si="66"/>
        <v>0</v>
      </c>
      <c r="N439" s="551"/>
    </row>
    <row r="440" spans="1:14" ht="90" customHeight="1">
      <c r="A440" s="546" t="str">
        <f>NCong!A356</f>
        <v>2</v>
      </c>
      <c r="B440" s="559" t="str">
        <f>NCong!B356</f>
        <v>Trường hợp nhiều thửa đất nông nghiệp lập chung trong 1 hồ sơ và cấp chung trong một GCN thì ngoài mức được tính ở trên, mỗi thửa đất tăng thêm được tính mức bằng 0,30 lần định mức quy định đối với Mục 2, 3, 4, 5, 6, 7, 8, 9, 10, 11, 12, 13, 14, 18, 19, 20, 21 và 23 các nội dung thực hiện tại địa bàn xã; Mục 1, 2 và 3 các nội dung thực hiện tại địa bàn cấp tỉnh của Bảng này.</v>
      </c>
      <c r="C440" s="548"/>
      <c r="D440" s="572" t="s">
        <v>32</v>
      </c>
      <c r="E440" s="550">
        <f>0.3*SUM(NCong!K307,NCong!K309,NCong!K310,NCong!K317,NCong!K322,NCong!K324,NCong!K332,NCong!K334,NCong!K336,NCong!K337,NCong!K338)</f>
        <v>95723.491500000018</v>
      </c>
      <c r="F440" s="550"/>
      <c r="G440" s="550"/>
      <c r="H440" s="550"/>
      <c r="I440" s="550"/>
      <c r="J440" s="550"/>
      <c r="K440" s="550">
        <f t="shared" si="64"/>
        <v>95723.491500000018</v>
      </c>
      <c r="L440" s="550">
        <f t="shared" si="65"/>
        <v>14358.523725000003</v>
      </c>
      <c r="M440" s="550">
        <f t="shared" si="66"/>
        <v>110082.01522500002</v>
      </c>
      <c r="N440" s="551">
        <f>0.3*SUM(NCong!N307,NCong!N309,NCong!N310,NCong!N317,NCong!N322,NCong!N324,NCong!N332,NCong!N334,NCong!N336,NCong!N337,NCong!N338)</f>
        <v>7853.4144000000015</v>
      </c>
    </row>
    <row r="441" spans="1:14" ht="90" customHeight="1">
      <c r="A441" s="546" t="str">
        <f>NCong!A357</f>
        <v>3</v>
      </c>
      <c r="B441" s="559" t="str">
        <f>NCong!B357</f>
        <v>Trường hợp thửa đất đã cấp GCN mà có thay đổi về mục đích sử dụng đất, ranh giới thửa đất thì áp dụng theo định mức quy định tại Bảng này</v>
      </c>
      <c r="C441" s="548"/>
      <c r="D441" s="572" t="s">
        <v>32</v>
      </c>
      <c r="E441" s="550" t="e">
        <f t="shared" ref="E441:J441" si="71">E109</f>
        <v>#REF!</v>
      </c>
      <c r="F441" s="550">
        <f t="shared" si="71"/>
        <v>127346.15384615384</v>
      </c>
      <c r="G441" s="550">
        <f t="shared" si="71"/>
        <v>0</v>
      </c>
      <c r="H441" s="550">
        <f t="shared" si="71"/>
        <v>0</v>
      </c>
      <c r="I441" s="550" t="e">
        <f t="shared" si="71"/>
        <v>#REF!</v>
      </c>
      <c r="J441" s="550" t="e">
        <f t="shared" si="71"/>
        <v>#REF!</v>
      </c>
      <c r="K441" s="550" t="e">
        <f t="shared" si="64"/>
        <v>#REF!</v>
      </c>
      <c r="L441" s="550" t="e">
        <f t="shared" si="65"/>
        <v>#REF!</v>
      </c>
      <c r="M441" s="550" t="e">
        <f t="shared" si="66"/>
        <v>#REF!</v>
      </c>
      <c r="N441" s="551" t="e">
        <f>N109</f>
        <v>#REF!</v>
      </c>
    </row>
    <row r="442" spans="1:14" ht="90" customHeight="1">
      <c r="A442" s="546" t="str">
        <f>NCong!A358</f>
        <v>4</v>
      </c>
      <c r="B442" s="559" t="str">
        <f>NCong!B358</f>
        <v>Trường hợp cấp đổi GCN đối với thửa đất có biến động khác về quyền sử dụng đất, tài sản gắn liền với đất (chuyển quyền sử dụng đất, thay đổi về tài sản gắn liền với đất, v.v...) thì định mức lao động quy định tại các mục 2 7, 8, 9, 10, 11, 12, 13, 14, 18, 19, 20, 21 và 23 các nội dung thực hiện tại địa bàn xã Bảng này được tính bằng 1,5 lần</v>
      </c>
      <c r="C442" s="548"/>
      <c r="D442" s="572" t="s">
        <v>32</v>
      </c>
      <c r="E442" s="550" t="e">
        <f>E435+NCong!K317*0.5</f>
        <v>#REF!</v>
      </c>
      <c r="F442" s="550">
        <f>F435</f>
        <v>0</v>
      </c>
      <c r="G442" s="550">
        <f>G435</f>
        <v>10006.554206371795</v>
      </c>
      <c r="H442" s="550">
        <f>H435</f>
        <v>19924.5</v>
      </c>
      <c r="I442" s="550">
        <f>I435</f>
        <v>16531.804800000002</v>
      </c>
      <c r="J442" s="550">
        <f>J435</f>
        <v>24046.354605000004</v>
      </c>
      <c r="K442" s="550" t="e">
        <f t="shared" si="64"/>
        <v>#REF!</v>
      </c>
      <c r="L442" s="550" t="e">
        <f t="shared" si="65"/>
        <v>#REF!</v>
      </c>
      <c r="M442" s="550" t="e">
        <f t="shared" si="66"/>
        <v>#REF!</v>
      </c>
      <c r="N442" s="551" t="e">
        <f>N435+NCong!N317*0.5</f>
        <v>#REF!</v>
      </c>
    </row>
    <row r="443" spans="1:14" ht="90" customHeight="1">
      <c r="A443" s="546" t="str">
        <f>NCong!A359</f>
        <v>5</v>
      </c>
      <c r="B443" s="559" t="str">
        <f>NCong!B359</f>
        <v>Trường hợp cấp đổi GCN đồng thời với thực hiện thủ tục đăng ký biến động đất đai thì áp dụng theo định mức đăng ký biến động đất đai quy định tại Điều 19 Quy định này</v>
      </c>
      <c r="C443" s="548"/>
      <c r="D443" s="572" t="s">
        <v>32</v>
      </c>
      <c r="E443" s="550" t="e">
        <f t="shared" ref="E443:J443" si="72">E435*0.9</f>
        <v>#REF!</v>
      </c>
      <c r="F443" s="550">
        <f t="shared" si="72"/>
        <v>0</v>
      </c>
      <c r="G443" s="550">
        <f t="shared" si="72"/>
        <v>9005.8987857346165</v>
      </c>
      <c r="H443" s="550">
        <f t="shared" si="72"/>
        <v>17932.05</v>
      </c>
      <c r="I443" s="550">
        <f t="shared" si="72"/>
        <v>14878.624320000003</v>
      </c>
      <c r="J443" s="550">
        <f t="shared" si="72"/>
        <v>21641.719144500003</v>
      </c>
      <c r="K443" s="550" t="e">
        <f t="shared" si="64"/>
        <v>#REF!</v>
      </c>
      <c r="L443" s="550" t="e">
        <f t="shared" si="65"/>
        <v>#REF!</v>
      </c>
      <c r="M443" s="550" t="e">
        <f t="shared" si="66"/>
        <v>#REF!</v>
      </c>
      <c r="N443" s="551" t="e">
        <f>N435*0.9</f>
        <v>#REF!</v>
      </c>
    </row>
    <row r="444" spans="1:14" ht="90" customHeight="1">
      <c r="A444" s="546">
        <f>NCong!A360</f>
        <v>0</v>
      </c>
      <c r="B444" s="559">
        <f>NCong!B360</f>
        <v>0</v>
      </c>
      <c r="C444" s="548"/>
      <c r="D444" s="572"/>
      <c r="E444" s="550"/>
      <c r="F444" s="550"/>
      <c r="G444" s="550"/>
      <c r="H444" s="550"/>
      <c r="I444" s="550"/>
      <c r="J444" s="550"/>
      <c r="K444" s="550"/>
      <c r="L444" s="550"/>
      <c r="M444" s="550"/>
      <c r="N444" s="551"/>
    </row>
    <row r="445" spans="1:14" ht="30" customHeight="1">
      <c r="A445" s="587"/>
      <c r="B445" s="1832" t="s">
        <v>517</v>
      </c>
      <c r="C445" s="1832"/>
      <c r="D445" s="1832"/>
      <c r="E445" s="1832"/>
      <c r="F445" s="1832"/>
      <c r="G445" s="1832"/>
      <c r="H445" s="1832"/>
      <c r="I445" s="1832"/>
      <c r="J445" s="1832"/>
      <c r="K445" s="1832"/>
      <c r="L445" s="1832"/>
      <c r="M445" s="1832"/>
      <c r="N445" s="1840"/>
    </row>
    <row r="446" spans="1:14" ht="30" customHeight="1">
      <c r="A446" s="587"/>
      <c r="B446" s="588"/>
      <c r="C446" s="588" t="s">
        <v>53</v>
      </c>
      <c r="D446" s="588" t="s">
        <v>32</v>
      </c>
      <c r="E446" s="537">
        <v>370885.93999999994</v>
      </c>
      <c r="F446" s="537">
        <v>0</v>
      </c>
      <c r="G446" s="537">
        <v>2392.3055288461537</v>
      </c>
      <c r="H446" s="537">
        <v>16899.84</v>
      </c>
      <c r="I446" s="537">
        <v>10648.645559999999</v>
      </c>
      <c r="J446" s="537">
        <v>19743.552</v>
      </c>
      <c r="K446" s="537">
        <v>420570.28308884613</v>
      </c>
      <c r="L446" s="537">
        <v>63085.542463326914</v>
      </c>
      <c r="M446" s="537">
        <v>483655.82555217308</v>
      </c>
      <c r="N446" s="538">
        <v>13113.75</v>
      </c>
    </row>
    <row r="447" spans="1:14" ht="39.950000000000003" customHeight="1">
      <c r="A447" s="539" t="s">
        <v>237</v>
      </c>
      <c r="B447" s="545" t="s">
        <v>166</v>
      </c>
      <c r="C447" s="540" t="s">
        <v>53</v>
      </c>
      <c r="D447" s="541" t="s">
        <v>32</v>
      </c>
      <c r="E447" s="542">
        <v>367281.68999999994</v>
      </c>
      <c r="F447" s="542"/>
      <c r="G447" s="542">
        <v>2371.9213942307692</v>
      </c>
      <c r="H447" s="542">
        <v>16342.560000000001</v>
      </c>
      <c r="I447" s="542">
        <v>10648.645559999999</v>
      </c>
      <c r="J447" s="542">
        <v>19718.184000000001</v>
      </c>
      <c r="K447" s="542">
        <v>416363.00095423072</v>
      </c>
      <c r="L447" s="542">
        <v>62454.450143134607</v>
      </c>
      <c r="M447" s="542">
        <v>478817.45109736535</v>
      </c>
      <c r="N447" s="543">
        <v>12979.25</v>
      </c>
    </row>
    <row r="448" spans="1:14" ht="39.950000000000003" customHeight="1">
      <c r="A448" s="539" t="s">
        <v>238</v>
      </c>
      <c r="B448" s="545" t="s">
        <v>140</v>
      </c>
      <c r="C448" s="540" t="s">
        <v>53</v>
      </c>
      <c r="D448" s="541" t="s">
        <v>32</v>
      </c>
      <c r="E448" s="542">
        <v>3604.25</v>
      </c>
      <c r="F448" s="542"/>
      <c r="G448" s="542">
        <v>20.38413461538461</v>
      </c>
      <c r="H448" s="542">
        <v>557.28000000000009</v>
      </c>
      <c r="I448" s="542">
        <v>0</v>
      </c>
      <c r="J448" s="542">
        <v>25.368000000000002</v>
      </c>
      <c r="K448" s="542">
        <v>4207.2821346153851</v>
      </c>
      <c r="L448" s="542">
        <v>631.09232019230774</v>
      </c>
      <c r="M448" s="542">
        <v>4838.3744548076929</v>
      </c>
      <c r="N448" s="543">
        <v>134.5</v>
      </c>
    </row>
    <row r="449" spans="1:14" ht="30" customHeight="1">
      <c r="A449" s="539" t="s">
        <v>268</v>
      </c>
      <c r="B449" s="545" t="s">
        <v>258</v>
      </c>
      <c r="C449" s="540"/>
      <c r="D449" s="541"/>
      <c r="E449" s="542"/>
      <c r="F449" s="542"/>
      <c r="G449" s="542"/>
      <c r="H449" s="542"/>
      <c r="I449" s="542"/>
      <c r="J449" s="542"/>
      <c r="K449" s="542">
        <v>0</v>
      </c>
      <c r="L449" s="542">
        <v>0</v>
      </c>
      <c r="M449" s="542">
        <v>0</v>
      </c>
      <c r="N449" s="543"/>
    </row>
    <row r="450" spans="1:14" ht="90" customHeight="1">
      <c r="A450" s="546" t="s">
        <v>33</v>
      </c>
      <c r="B450" s="559" t="s">
        <v>260</v>
      </c>
      <c r="C450" s="548"/>
      <c r="D450" s="572" t="s">
        <v>32</v>
      </c>
      <c r="E450" s="550"/>
      <c r="F450" s="550"/>
      <c r="G450" s="550"/>
      <c r="H450" s="550"/>
      <c r="I450" s="550"/>
      <c r="J450" s="550"/>
      <c r="K450" s="550">
        <v>0</v>
      </c>
      <c r="L450" s="550">
        <v>0</v>
      </c>
      <c r="M450" s="550">
        <v>0</v>
      </c>
      <c r="N450" s="551"/>
    </row>
    <row r="451" spans="1:14" ht="90" customHeight="1">
      <c r="A451" s="546" t="s">
        <v>34</v>
      </c>
      <c r="B451" s="559" t="s">
        <v>269</v>
      </c>
      <c r="C451" s="548"/>
      <c r="D451" s="572" t="s">
        <v>32</v>
      </c>
      <c r="E451" s="550">
        <v>104778.13199999998</v>
      </c>
      <c r="F451" s="550"/>
      <c r="G451" s="550"/>
      <c r="H451" s="550"/>
      <c r="I451" s="550"/>
      <c r="J451" s="550"/>
      <c r="K451" s="550">
        <v>104778.13199999998</v>
      </c>
      <c r="L451" s="550">
        <v>15716.719799999997</v>
      </c>
      <c r="M451" s="550">
        <v>120494.85179999997</v>
      </c>
      <c r="N451" s="551">
        <v>3692.0249999999996</v>
      </c>
    </row>
    <row r="452" spans="1:14" ht="90" customHeight="1">
      <c r="A452" s="546" t="s">
        <v>35</v>
      </c>
      <c r="B452" s="559" t="s">
        <v>270</v>
      </c>
      <c r="C452" s="548"/>
      <c r="D452" s="572" t="s">
        <v>32</v>
      </c>
      <c r="E452" s="550">
        <v>1197413.9950000001</v>
      </c>
      <c r="F452" s="550">
        <v>74307.692307692298</v>
      </c>
      <c r="G452" s="550">
        <v>2772.2103365384614</v>
      </c>
      <c r="H452" s="550">
        <v>1086.48</v>
      </c>
      <c r="I452" s="550">
        <v>6369.3870400000005</v>
      </c>
      <c r="J452" s="550">
        <v>13557.384</v>
      </c>
      <c r="K452" s="550">
        <v>1295507.1486842309</v>
      </c>
      <c r="L452" s="550">
        <v>194326.07230263462</v>
      </c>
      <c r="M452" s="550">
        <v>1489833.2209868655</v>
      </c>
      <c r="N452" s="551">
        <v>43867.174999999996</v>
      </c>
    </row>
    <row r="453" spans="1:14" ht="90" customHeight="1">
      <c r="A453" s="546" t="s">
        <v>158</v>
      </c>
      <c r="B453" s="559" t="s">
        <v>271</v>
      </c>
      <c r="C453" s="548"/>
      <c r="D453" s="572" t="s">
        <v>32</v>
      </c>
      <c r="E453" s="550">
        <v>421150.93999999994</v>
      </c>
      <c r="F453" s="550"/>
      <c r="G453" s="550"/>
      <c r="H453" s="550"/>
      <c r="I453" s="550"/>
      <c r="J453" s="550"/>
      <c r="K453" s="550">
        <v>421150.93999999994</v>
      </c>
      <c r="L453" s="550">
        <v>63172.640999999989</v>
      </c>
      <c r="M453" s="550">
        <v>484323.58099999995</v>
      </c>
      <c r="N453" s="551">
        <v>14795</v>
      </c>
    </row>
    <row r="454" spans="1:14" ht="90" customHeight="1">
      <c r="A454" s="546" t="s">
        <v>159</v>
      </c>
      <c r="B454" s="559" t="s">
        <v>272</v>
      </c>
      <c r="C454" s="548"/>
      <c r="D454" s="572" t="s">
        <v>32</v>
      </c>
      <c r="E454" s="550">
        <v>333797.34599999996</v>
      </c>
      <c r="F454" s="550">
        <v>0</v>
      </c>
      <c r="G454" s="550">
        <v>2153.0749759615383</v>
      </c>
      <c r="H454" s="550">
        <v>15209.856</v>
      </c>
      <c r="I454" s="550">
        <v>9583.7810039999986</v>
      </c>
      <c r="J454" s="550">
        <v>17769.196800000002</v>
      </c>
      <c r="K454" s="550">
        <v>378513.25477996148</v>
      </c>
      <c r="L454" s="550">
        <v>56776.988216994221</v>
      </c>
      <c r="M454" s="550">
        <v>435290.2429969557</v>
      </c>
      <c r="N454" s="551">
        <v>11802.375</v>
      </c>
    </row>
    <row r="455" spans="1:14" ht="90" customHeight="1">
      <c r="A455" s="546" t="s">
        <v>160</v>
      </c>
      <c r="B455" s="559" t="s">
        <v>273</v>
      </c>
      <c r="C455" s="548"/>
      <c r="D455" s="572"/>
      <c r="E455" s="550"/>
      <c r="F455" s="550"/>
      <c r="G455" s="550"/>
      <c r="H455" s="550"/>
      <c r="I455" s="550"/>
      <c r="J455" s="550"/>
      <c r="K455" s="550"/>
      <c r="L455" s="550"/>
      <c r="M455" s="550"/>
      <c r="N455" s="551"/>
    </row>
    <row r="456" spans="1:14" ht="30" customHeight="1">
      <c r="A456" s="587"/>
      <c r="B456" s="1832" t="s">
        <v>518</v>
      </c>
      <c r="C456" s="1832"/>
      <c r="D456" s="1832"/>
      <c r="E456" s="1832"/>
      <c r="F456" s="1832"/>
      <c r="G456" s="1832"/>
      <c r="H456" s="1832"/>
      <c r="I456" s="1832"/>
      <c r="J456" s="1832"/>
      <c r="K456" s="1832"/>
      <c r="L456" s="1832"/>
      <c r="M456" s="1832"/>
      <c r="N456" s="1840"/>
    </row>
    <row r="457" spans="1:14" ht="30" customHeight="1">
      <c r="A457" s="587"/>
      <c r="B457" s="588"/>
      <c r="C457" s="588" t="s">
        <v>53</v>
      </c>
      <c r="D457" s="588" t="s">
        <v>32</v>
      </c>
      <c r="E457" s="537">
        <v>526812.53250000009</v>
      </c>
      <c r="F457" s="537">
        <v>0</v>
      </c>
      <c r="G457" s="537">
        <v>3109.9971875000001</v>
      </c>
      <c r="H457" s="537">
        <v>16899.84</v>
      </c>
      <c r="I457" s="537">
        <v>13843.239227999999</v>
      </c>
      <c r="J457" s="537">
        <v>25666.617600000001</v>
      </c>
      <c r="K457" s="537">
        <v>586332.22651550011</v>
      </c>
      <c r="L457" s="537">
        <v>87949.833977325019</v>
      </c>
      <c r="M457" s="537">
        <v>674282.06049282511</v>
      </c>
      <c r="N457" s="538">
        <v>18513.924999999999</v>
      </c>
    </row>
    <row r="458" spans="1:14" ht="39.950000000000003" customHeight="1">
      <c r="A458" s="539" t="s">
        <v>237</v>
      </c>
      <c r="B458" s="545" t="s">
        <v>166</v>
      </c>
      <c r="C458" s="540" t="s">
        <v>53</v>
      </c>
      <c r="D458" s="541" t="s">
        <v>32</v>
      </c>
      <c r="E458" s="542">
        <v>522127.00750000007</v>
      </c>
      <c r="F458" s="542"/>
      <c r="G458" s="542">
        <v>3083.4978125000002</v>
      </c>
      <c r="H458" s="542">
        <v>16342.560000000001</v>
      </c>
      <c r="I458" s="542">
        <v>13843.239227999999</v>
      </c>
      <c r="J458" s="542">
        <v>25633.639200000001</v>
      </c>
      <c r="K458" s="542">
        <v>581029.94374050014</v>
      </c>
      <c r="L458" s="542">
        <v>87154.491561075018</v>
      </c>
      <c r="M458" s="542">
        <v>668184.43530157511</v>
      </c>
      <c r="N458" s="543">
        <v>18339.075000000001</v>
      </c>
    </row>
    <row r="459" spans="1:14" ht="39.950000000000003" customHeight="1">
      <c r="A459" s="539" t="s">
        <v>238</v>
      </c>
      <c r="B459" s="545" t="s">
        <v>140</v>
      </c>
      <c r="C459" s="540" t="s">
        <v>53</v>
      </c>
      <c r="D459" s="541" t="s">
        <v>32</v>
      </c>
      <c r="E459" s="542">
        <v>4685.5249999999996</v>
      </c>
      <c r="F459" s="542"/>
      <c r="G459" s="542">
        <v>26.499374999999993</v>
      </c>
      <c r="H459" s="542">
        <v>557.28000000000009</v>
      </c>
      <c r="I459" s="542">
        <v>0</v>
      </c>
      <c r="J459" s="542">
        <v>32.978400000000001</v>
      </c>
      <c r="K459" s="542">
        <v>5302.2827749999997</v>
      </c>
      <c r="L459" s="542">
        <v>795.34241624999993</v>
      </c>
      <c r="M459" s="542">
        <v>6097.6251912499993</v>
      </c>
      <c r="N459" s="543">
        <v>174.85</v>
      </c>
    </row>
    <row r="460" spans="1:14" ht="30" customHeight="1">
      <c r="A460" s="539" t="s">
        <v>268</v>
      </c>
      <c r="B460" s="545" t="s">
        <v>258</v>
      </c>
      <c r="C460" s="540"/>
      <c r="D460" s="541"/>
      <c r="E460" s="542"/>
      <c r="F460" s="542"/>
      <c r="G460" s="542"/>
      <c r="H460" s="542"/>
      <c r="I460" s="542"/>
      <c r="J460" s="542"/>
      <c r="K460" s="542">
        <v>0</v>
      </c>
      <c r="L460" s="542">
        <v>0</v>
      </c>
      <c r="M460" s="542">
        <v>0</v>
      </c>
      <c r="N460" s="543"/>
    </row>
    <row r="461" spans="1:14" ht="90" customHeight="1">
      <c r="A461" s="546" t="s">
        <v>33</v>
      </c>
      <c r="B461" s="559" t="s">
        <v>260</v>
      </c>
      <c r="C461" s="548"/>
      <c r="D461" s="572" t="s">
        <v>32</v>
      </c>
      <c r="E461" s="550"/>
      <c r="F461" s="550"/>
      <c r="G461" s="550"/>
      <c r="H461" s="550"/>
      <c r="I461" s="550"/>
      <c r="J461" s="550"/>
      <c r="K461" s="550">
        <v>0</v>
      </c>
      <c r="L461" s="550">
        <v>0</v>
      </c>
      <c r="M461" s="550">
        <v>0</v>
      </c>
      <c r="N461" s="551"/>
    </row>
    <row r="462" spans="1:14" ht="90" customHeight="1">
      <c r="A462" s="546" t="s">
        <v>34</v>
      </c>
      <c r="B462" s="559" t="s">
        <v>269</v>
      </c>
      <c r="C462" s="548"/>
      <c r="D462" s="572" t="s">
        <v>32</v>
      </c>
      <c r="E462" s="550">
        <v>149609.81475000002</v>
      </c>
      <c r="F462" s="550"/>
      <c r="G462" s="550"/>
      <c r="H462" s="550"/>
      <c r="I462" s="550"/>
      <c r="J462" s="550"/>
      <c r="K462" s="550">
        <v>149609.81475000002</v>
      </c>
      <c r="L462" s="550">
        <v>22441.472212500001</v>
      </c>
      <c r="M462" s="550">
        <v>172051.28696250002</v>
      </c>
      <c r="N462" s="551">
        <v>5239.4475000000002</v>
      </c>
    </row>
    <row r="463" spans="1:14" ht="90" customHeight="1">
      <c r="A463" s="546" t="s">
        <v>35</v>
      </c>
      <c r="B463" s="559" t="s">
        <v>270</v>
      </c>
      <c r="C463" s="548"/>
      <c r="D463" s="572" t="s">
        <v>32</v>
      </c>
      <c r="E463" s="550">
        <v>1465174.52</v>
      </c>
      <c r="F463" s="550">
        <v>96600</v>
      </c>
      <c r="G463" s="550">
        <v>3603.8734374999999</v>
      </c>
      <c r="H463" s="550">
        <v>1086.48</v>
      </c>
      <c r="I463" s="550">
        <v>8280.203152</v>
      </c>
      <c r="J463" s="550">
        <v>17624.599200000001</v>
      </c>
      <c r="K463" s="550">
        <v>1592369.6757895001</v>
      </c>
      <c r="L463" s="550">
        <v>238855.45136842501</v>
      </c>
      <c r="M463" s="550">
        <v>1831225.1271579252</v>
      </c>
      <c r="N463" s="551">
        <v>64600.349999999991</v>
      </c>
    </row>
    <row r="464" spans="1:14" ht="90" customHeight="1">
      <c r="A464" s="546" t="s">
        <v>158</v>
      </c>
      <c r="B464" s="559" t="s">
        <v>271</v>
      </c>
      <c r="C464" s="548"/>
      <c r="D464" s="572" t="s">
        <v>32</v>
      </c>
      <c r="E464" s="550">
        <v>592157.03250000009</v>
      </c>
      <c r="F464" s="550"/>
      <c r="G464" s="550"/>
      <c r="H464" s="550"/>
      <c r="I464" s="550"/>
      <c r="J464" s="550"/>
      <c r="K464" s="550">
        <v>592157.03250000009</v>
      </c>
      <c r="L464" s="550">
        <v>88823.554875000016</v>
      </c>
      <c r="M464" s="550">
        <v>680980.58737500012</v>
      </c>
      <c r="N464" s="551">
        <v>20699.55</v>
      </c>
    </row>
    <row r="465" spans="1:14" ht="90" customHeight="1">
      <c r="A465" s="546" t="s">
        <v>159</v>
      </c>
      <c r="B465" s="559" t="s">
        <v>272</v>
      </c>
      <c r="C465" s="548"/>
      <c r="D465" s="572" t="s">
        <v>32</v>
      </c>
      <c r="E465" s="550">
        <v>474131.27925000008</v>
      </c>
      <c r="F465" s="550">
        <v>0</v>
      </c>
      <c r="G465" s="550">
        <v>2798.9974687500003</v>
      </c>
      <c r="H465" s="550">
        <v>15209.856</v>
      </c>
      <c r="I465" s="550">
        <v>12458.915305199998</v>
      </c>
      <c r="J465" s="550">
        <v>23099.955840000002</v>
      </c>
      <c r="K465" s="550">
        <v>527699.00386395003</v>
      </c>
      <c r="L465" s="550">
        <v>79154.850579592501</v>
      </c>
      <c r="M465" s="550">
        <v>606853.85444354254</v>
      </c>
      <c r="N465" s="551">
        <v>16662.532500000001</v>
      </c>
    </row>
    <row r="466" spans="1:14" ht="90" customHeight="1">
      <c r="A466" s="546" t="s">
        <v>160</v>
      </c>
      <c r="B466" s="559" t="s">
        <v>273</v>
      </c>
      <c r="C466" s="548"/>
      <c r="D466" s="572"/>
      <c r="E466" s="550"/>
      <c r="F466" s="550"/>
      <c r="G466" s="550"/>
      <c r="H466" s="550"/>
      <c r="I466" s="550"/>
      <c r="J466" s="550"/>
      <c r="K466" s="550"/>
      <c r="L466" s="550"/>
      <c r="M466" s="550"/>
      <c r="N466" s="551"/>
    </row>
    <row r="467" spans="1:14" s="530" customFormat="1" ht="24.95" customHeight="1">
      <c r="A467" s="587" t="str">
        <f>NCong!A365</f>
        <v>VI</v>
      </c>
      <c r="B467" s="1831" t="str">
        <f>NCong!B365</f>
        <v>Đăng ký, cấp đổi, cấp lại Giấy chứng nhận riêng lẻ đối với tổ chức, tổ chức tôn giáo, tổ chức tôn giáo trực thuộc, tổ chức nước ngoài có chức năng ngoại giao, tổ chức kinh tế có vốn đầu tư nước ngoài, tổ chức nước ngoài, cá nhân nước ngoài</v>
      </c>
      <c r="C467" s="1831"/>
      <c r="D467" s="1831"/>
      <c r="E467" s="1831"/>
      <c r="F467" s="1831"/>
      <c r="G467" s="1831"/>
      <c r="H467" s="1831"/>
      <c r="I467" s="1831"/>
      <c r="J467" s="1831"/>
      <c r="K467" s="1831"/>
      <c r="L467" s="1831"/>
      <c r="M467" s="1831"/>
      <c r="N467" s="1841"/>
    </row>
    <row r="468" spans="1:14" s="530" customFormat="1" ht="24.95" customHeight="1">
      <c r="A468" s="587"/>
      <c r="B468" s="1837" t="s">
        <v>516</v>
      </c>
      <c r="C468" s="1837"/>
      <c r="D468" s="1837"/>
      <c r="E468" s="1837"/>
      <c r="F468" s="1837"/>
      <c r="G468" s="1837"/>
      <c r="H468" s="1837"/>
      <c r="I468" s="1837"/>
      <c r="J468" s="1837"/>
      <c r="K468" s="1837"/>
      <c r="L468" s="1837"/>
      <c r="M468" s="1837"/>
      <c r="N468" s="1838"/>
    </row>
    <row r="469" spans="1:14" s="530" customFormat="1" ht="24.95" customHeight="1">
      <c r="A469" s="587"/>
      <c r="B469" s="588"/>
      <c r="C469" s="585" t="s">
        <v>53</v>
      </c>
      <c r="D469" s="588" t="s">
        <v>32</v>
      </c>
      <c r="E469" s="537" t="e">
        <f t="shared" ref="E469:J469" si="73">E470+E471+E472</f>
        <v>#REF!</v>
      </c>
      <c r="F469" s="537">
        <f t="shared" si="73"/>
        <v>0</v>
      </c>
      <c r="G469" s="537">
        <f t="shared" si="73"/>
        <v>15337.920879692307</v>
      </c>
      <c r="H469" s="537">
        <f t="shared" si="73"/>
        <v>24019</v>
      </c>
      <c r="I469" s="537">
        <f t="shared" si="73"/>
        <v>22041.186399999999</v>
      </c>
      <c r="J469" s="537">
        <f t="shared" si="73"/>
        <v>32016.255453000002</v>
      </c>
      <c r="K469" s="537" t="e">
        <f>SUM(E469:J469)</f>
        <v>#REF!</v>
      </c>
      <c r="L469" s="537" t="e">
        <f>$L$4*K469</f>
        <v>#REF!</v>
      </c>
      <c r="M469" s="537" t="e">
        <f>K469+L469</f>
        <v>#REF!</v>
      </c>
      <c r="N469" s="538">
        <f>N470+N471+N472</f>
        <v>82471.077000000005</v>
      </c>
    </row>
    <row r="470" spans="1:14" s="544" customFormat="1" ht="30" customHeight="1">
      <c r="A470" s="539" t="str">
        <f>NCong!A366</f>
        <v>VI.1</v>
      </c>
      <c r="B470" s="545" t="str">
        <f>NCong!B366</f>
        <v>CÁC NỘI DUNG THỰC HIỆN TẠI ĐỊA BÀN CẤP TỈNH</v>
      </c>
      <c r="C470" s="540" t="s">
        <v>53</v>
      </c>
      <c r="D470" s="541"/>
      <c r="E470" s="542">
        <f>NCong!K366</f>
        <v>1322396.0099999998</v>
      </c>
      <c r="F470" s="542"/>
      <c r="G470" s="542">
        <f>Dcu!L193</f>
        <v>15206.647700692307</v>
      </c>
      <c r="H470" s="542">
        <f>VLieu!J134</f>
        <v>22493</v>
      </c>
      <c r="I470" s="542">
        <f>Tbi!I112</f>
        <v>22041.186399999999</v>
      </c>
      <c r="J470" s="542">
        <f>Tbi!I119+Dcu!L192</f>
        <v>31976.582274</v>
      </c>
      <c r="K470" s="542">
        <f>SUM(E470:J470)</f>
        <v>1414113.426374692</v>
      </c>
      <c r="L470" s="542">
        <f>$L$4*K470</f>
        <v>212117.01395620379</v>
      </c>
      <c r="M470" s="542">
        <f>K470+L470</f>
        <v>1626230.4403308958</v>
      </c>
      <c r="N470" s="543">
        <f>NCong!N366</f>
        <v>81448.497000000018</v>
      </c>
    </row>
    <row r="471" spans="1:14" s="544" customFormat="1" ht="30" customHeight="1">
      <c r="A471" s="539" t="e">
        <f>NCong!#REF!</f>
        <v>#REF!</v>
      </c>
      <c r="B471" s="545" t="e">
        <f>NCong!#REF!</f>
        <v>#REF!</v>
      </c>
      <c r="C471" s="540" t="s">
        <v>53</v>
      </c>
      <c r="D471" s="541"/>
      <c r="E471" s="542" t="e">
        <f>NCong!#REF!</f>
        <v>#REF!</v>
      </c>
      <c r="F471" s="542"/>
      <c r="G471" s="542">
        <f>Dcu!K193</f>
        <v>0</v>
      </c>
      <c r="H471" s="542">
        <f>VLieu!I134</f>
        <v>0</v>
      </c>
      <c r="I471" s="542"/>
      <c r="J471" s="542"/>
      <c r="K471" s="542" t="e">
        <f>SUM(E471:J471)</f>
        <v>#REF!</v>
      </c>
      <c r="L471" s="542" t="e">
        <f>$L$4*K471</f>
        <v>#REF!</v>
      </c>
      <c r="M471" s="542" t="e">
        <f>K471+L471</f>
        <v>#REF!</v>
      </c>
      <c r="N471" s="543">
        <f>NCong!N408</f>
        <v>511.29</v>
      </c>
    </row>
    <row r="472" spans="1:14" s="544" customFormat="1" ht="30" customHeight="1">
      <c r="A472" s="539" t="str">
        <f>NCong!A408</f>
        <v>VI.2</v>
      </c>
      <c r="B472" s="545" t="str">
        <f>NCong!B408</f>
        <v>CÁC NỘI DUNG THỰC HIỆN TẠI ĐỊA BÀN XÃ, PHƯỜNG</v>
      </c>
      <c r="C472" s="540" t="s">
        <v>53</v>
      </c>
      <c r="D472" s="541"/>
      <c r="E472" s="542">
        <f>NCong!K409</f>
        <v>5935.41</v>
      </c>
      <c r="F472" s="542"/>
      <c r="G472" s="542">
        <f>Dcu!J193</f>
        <v>131.273179</v>
      </c>
      <c r="H472" s="542">
        <f>VLieu!H134</f>
        <v>1526</v>
      </c>
      <c r="I472" s="542"/>
      <c r="J472" s="542">
        <f>Dcu!J192</f>
        <v>39.673178999999998</v>
      </c>
      <c r="K472" s="542">
        <f>SUM(E472:J472)</f>
        <v>7632.356358</v>
      </c>
      <c r="L472" s="542">
        <f>$L$4*K472</f>
        <v>1144.8534537</v>
      </c>
      <c r="M472" s="542">
        <f>K472+L472</f>
        <v>8777.2098117000005</v>
      </c>
      <c r="N472" s="543">
        <f>NCong!N408</f>
        <v>511.29</v>
      </c>
    </row>
    <row r="473" spans="1:14" s="544" customFormat="1" ht="24.95" customHeight="1">
      <c r="A473" s="539" t="str">
        <f>NCong!A410</f>
        <v>VI.3</v>
      </c>
      <c r="B473" s="545" t="str">
        <f>NCong!B410</f>
        <v>GHI CHÚ</v>
      </c>
      <c r="C473" s="540"/>
      <c r="D473" s="540"/>
      <c r="E473" s="542"/>
      <c r="F473" s="542"/>
      <c r="G473" s="542"/>
      <c r="H473" s="542"/>
      <c r="I473" s="542"/>
      <c r="J473" s="542"/>
      <c r="K473" s="542"/>
      <c r="L473" s="542"/>
      <c r="M473" s="542"/>
      <c r="N473" s="543"/>
    </row>
    <row r="474" spans="1:14" ht="50.1" customHeight="1">
      <c r="A474" s="546" t="str">
        <f>NCong!A412</f>
        <v>2</v>
      </c>
      <c r="B474" s="1813" t="str">
        <f>NCong!B412</f>
        <v>Trường hợp cấp đổi GCN đồng thời với thực hiện thủ tục đăng ký biến động đất đai thì áp dụng theo định mức đăng ký biến động đất đai quy định tại Điều 20 Quy định này</v>
      </c>
      <c r="C474" s="1813"/>
      <c r="D474" s="1813"/>
      <c r="E474" s="550" t="e">
        <f t="shared" ref="E474:J474" si="74">E469*0.9</f>
        <v>#REF!</v>
      </c>
      <c r="F474" s="550">
        <f t="shared" si="74"/>
        <v>0</v>
      </c>
      <c r="G474" s="550">
        <f t="shared" si="74"/>
        <v>13804.128791723077</v>
      </c>
      <c r="H474" s="550">
        <f t="shared" si="74"/>
        <v>21617.100000000002</v>
      </c>
      <c r="I474" s="550">
        <f t="shared" si="74"/>
        <v>19837.067759999998</v>
      </c>
      <c r="J474" s="550">
        <f t="shared" si="74"/>
        <v>28814.6299077</v>
      </c>
      <c r="K474" s="542" t="e">
        <f>SUM(E474:J474)</f>
        <v>#REF!</v>
      </c>
      <c r="L474" s="542" t="e">
        <f>$L$4*K474</f>
        <v>#REF!</v>
      </c>
      <c r="M474" s="542" t="e">
        <f>K474+L474</f>
        <v>#REF!</v>
      </c>
      <c r="N474" s="551">
        <f>N469*0.9</f>
        <v>74223.969300000012</v>
      </c>
    </row>
    <row r="475" spans="1:14" ht="50.1" customHeight="1">
      <c r="A475" s="546">
        <f>NCong!A413</f>
        <v>0</v>
      </c>
      <c r="B475" s="1813">
        <f>NCong!B413</f>
        <v>0</v>
      </c>
      <c r="C475" s="1813"/>
      <c r="D475" s="1813"/>
      <c r="E475" s="550"/>
      <c r="F475" s="550"/>
      <c r="G475" s="550"/>
      <c r="H475" s="550"/>
      <c r="I475" s="550"/>
      <c r="J475" s="550"/>
      <c r="K475" s="550"/>
      <c r="L475" s="550"/>
      <c r="M475" s="550"/>
      <c r="N475" s="551"/>
    </row>
    <row r="476" spans="1:14" ht="30" customHeight="1">
      <c r="A476" s="587"/>
      <c r="B476" s="1837" t="s">
        <v>517</v>
      </c>
      <c r="C476" s="1837"/>
      <c r="D476" s="1837"/>
      <c r="E476" s="1837"/>
      <c r="F476" s="1837"/>
      <c r="G476" s="1837"/>
      <c r="H476" s="1837"/>
      <c r="I476" s="1837"/>
      <c r="J476" s="1837"/>
      <c r="K476" s="1837"/>
      <c r="L476" s="1837"/>
      <c r="M476" s="1837"/>
      <c r="N476" s="1838"/>
    </row>
    <row r="477" spans="1:14" ht="30" customHeight="1">
      <c r="A477" s="587"/>
      <c r="B477" s="588"/>
      <c r="C477" s="588" t="s">
        <v>53</v>
      </c>
      <c r="D477" s="588" t="s">
        <v>32</v>
      </c>
      <c r="E477" s="537">
        <v>569464.03499999992</v>
      </c>
      <c r="F477" s="537">
        <v>0</v>
      </c>
      <c r="G477" s="537">
        <v>3189.1741987179489</v>
      </c>
      <c r="H477" s="537">
        <v>19997.28</v>
      </c>
      <c r="I477" s="537">
        <v>14197.394080000002</v>
      </c>
      <c r="J477" s="537">
        <v>26321.112000000001</v>
      </c>
      <c r="K477" s="537">
        <v>633168.99527871783</v>
      </c>
      <c r="L477" s="537">
        <v>94975.349291807666</v>
      </c>
      <c r="M477" s="537">
        <v>728144.34457052546</v>
      </c>
      <c r="N477" s="538">
        <v>18359.249999999996</v>
      </c>
    </row>
    <row r="478" spans="1:14" ht="30" customHeight="1">
      <c r="A478" s="539" t="s">
        <v>240</v>
      </c>
      <c r="B478" s="545" t="s">
        <v>196</v>
      </c>
      <c r="C478" s="540" t="s">
        <v>53</v>
      </c>
      <c r="D478" s="541"/>
      <c r="E478" s="542">
        <v>562255.53499999992</v>
      </c>
      <c r="F478" s="542"/>
      <c r="G478" s="542">
        <v>3161.9953525641026</v>
      </c>
      <c r="H478" s="542">
        <v>19273.68</v>
      </c>
      <c r="I478" s="542">
        <v>14197.394080000002</v>
      </c>
      <c r="J478" s="542">
        <v>26288.495999999999</v>
      </c>
      <c r="K478" s="542">
        <v>625177.10043256416</v>
      </c>
      <c r="L478" s="542">
        <v>93776.56506488462</v>
      </c>
      <c r="M478" s="542">
        <v>718953.66549744876</v>
      </c>
      <c r="N478" s="543">
        <v>18359.249999999996</v>
      </c>
    </row>
    <row r="479" spans="1:14" ht="30" customHeight="1">
      <c r="A479" s="539" t="s">
        <v>241</v>
      </c>
      <c r="B479" s="545" t="s">
        <v>166</v>
      </c>
      <c r="C479" s="540" t="s">
        <v>53</v>
      </c>
      <c r="D479" s="541"/>
      <c r="E479" s="542">
        <v>3604.25</v>
      </c>
      <c r="F479" s="542"/>
      <c r="G479" s="542">
        <v>0</v>
      </c>
      <c r="H479" s="542">
        <v>0</v>
      </c>
      <c r="I479" s="542">
        <v>0</v>
      </c>
      <c r="J479" s="542">
        <v>0</v>
      </c>
      <c r="K479" s="542">
        <v>3604.25</v>
      </c>
      <c r="L479" s="542">
        <v>540.63749999999993</v>
      </c>
      <c r="M479" s="542">
        <v>4144.8874999999998</v>
      </c>
      <c r="N479" s="543">
        <v>174.85</v>
      </c>
    </row>
    <row r="480" spans="1:14" ht="30" customHeight="1">
      <c r="A480" s="539" t="s">
        <v>242</v>
      </c>
      <c r="B480" s="545" t="s">
        <v>140</v>
      </c>
      <c r="C480" s="540" t="s">
        <v>53</v>
      </c>
      <c r="D480" s="541"/>
      <c r="E480" s="542">
        <v>3604.25</v>
      </c>
      <c r="F480" s="542"/>
      <c r="G480" s="542">
        <v>27.178846153846159</v>
      </c>
      <c r="H480" s="542">
        <v>723.6</v>
      </c>
      <c r="I480" s="542">
        <v>0</v>
      </c>
      <c r="J480" s="542">
        <v>32.616</v>
      </c>
      <c r="K480" s="542">
        <v>4387.6448461538466</v>
      </c>
      <c r="L480" s="542">
        <v>658.14672692307693</v>
      </c>
      <c r="M480" s="542">
        <v>5045.7915730769237</v>
      </c>
      <c r="N480" s="543">
        <v>134.5</v>
      </c>
    </row>
    <row r="481" spans="1:14" ht="30" customHeight="1">
      <c r="A481" s="539" t="s">
        <v>274</v>
      </c>
      <c r="B481" s="545" t="s">
        <v>258</v>
      </c>
      <c r="C481" s="540"/>
      <c r="D481" s="540"/>
      <c r="E481" s="542"/>
      <c r="F481" s="542"/>
      <c r="G481" s="542"/>
      <c r="H481" s="542"/>
      <c r="I481" s="542"/>
      <c r="J481" s="542"/>
      <c r="K481" s="542"/>
      <c r="L481" s="542"/>
      <c r="M481" s="542"/>
      <c r="N481" s="543"/>
    </row>
    <row r="482" spans="1:14" ht="50.1" customHeight="1">
      <c r="A482" s="546" t="s">
        <v>34</v>
      </c>
      <c r="B482" s="1813" t="s">
        <v>275</v>
      </c>
      <c r="C482" s="1813"/>
      <c r="D482" s="1813"/>
      <c r="E482" s="550">
        <v>512517.63149999996</v>
      </c>
      <c r="F482" s="550">
        <v>0</v>
      </c>
      <c r="G482" s="550">
        <v>2870.2567788461542</v>
      </c>
      <c r="H482" s="550">
        <v>17997.552</v>
      </c>
      <c r="I482" s="550">
        <v>12777.654672000002</v>
      </c>
      <c r="J482" s="550">
        <v>23689.000800000002</v>
      </c>
      <c r="K482" s="542">
        <v>569852.09575084609</v>
      </c>
      <c r="L482" s="542">
        <v>85477.814362626916</v>
      </c>
      <c r="M482" s="542">
        <v>655329.91011347296</v>
      </c>
      <c r="N482" s="551">
        <v>16523.324999999997</v>
      </c>
    </row>
    <row r="483" spans="1:14" ht="50.1" customHeight="1">
      <c r="A483" s="546" t="s">
        <v>35</v>
      </c>
      <c r="B483" s="1813" t="s">
        <v>276</v>
      </c>
      <c r="C483" s="1813"/>
      <c r="D483" s="1813"/>
      <c r="E483" s="550"/>
      <c r="F483" s="550"/>
      <c r="G483" s="550"/>
      <c r="H483" s="550"/>
      <c r="I483" s="550"/>
      <c r="J483" s="550"/>
      <c r="K483" s="550"/>
      <c r="L483" s="550"/>
      <c r="M483" s="550"/>
      <c r="N483" s="551"/>
    </row>
    <row r="484" spans="1:14" ht="30" customHeight="1">
      <c r="A484" s="587"/>
      <c r="B484" s="1837" t="s">
        <v>518</v>
      </c>
      <c r="C484" s="1837"/>
      <c r="D484" s="1837"/>
      <c r="E484" s="1837"/>
      <c r="F484" s="1837"/>
      <c r="G484" s="1837"/>
      <c r="H484" s="1837"/>
      <c r="I484" s="1837"/>
      <c r="J484" s="1837"/>
      <c r="K484" s="1837"/>
      <c r="L484" s="1837"/>
      <c r="M484" s="1837"/>
      <c r="N484" s="1838"/>
    </row>
    <row r="485" spans="1:14" ht="30" customHeight="1">
      <c r="A485" s="587"/>
      <c r="B485" s="588"/>
      <c r="C485" s="588" t="s">
        <v>53</v>
      </c>
      <c r="D485" s="588" t="s">
        <v>32</v>
      </c>
      <c r="E485" s="537">
        <v>789337.06250000012</v>
      </c>
      <c r="F485" s="537">
        <v>0</v>
      </c>
      <c r="G485" s="537">
        <v>4145.9264583333343</v>
      </c>
      <c r="H485" s="537">
        <v>19997.28</v>
      </c>
      <c r="I485" s="537">
        <v>18456.612304000002</v>
      </c>
      <c r="J485" s="537">
        <v>34217.445600000006</v>
      </c>
      <c r="K485" s="537">
        <v>866154.32686233346</v>
      </c>
      <c r="L485" s="537">
        <v>129923.14902935001</v>
      </c>
      <c r="M485" s="537">
        <v>996077.47589168348</v>
      </c>
      <c r="N485" s="538">
        <v>25581.899999999998</v>
      </c>
    </row>
    <row r="486" spans="1:14" ht="30" customHeight="1">
      <c r="A486" s="539" t="s">
        <v>240</v>
      </c>
      <c r="B486" s="545" t="s">
        <v>196</v>
      </c>
      <c r="C486" s="540" t="s">
        <v>53</v>
      </c>
      <c r="D486" s="541"/>
      <c r="E486" s="542">
        <v>779966.01250000007</v>
      </c>
      <c r="F486" s="542"/>
      <c r="G486" s="542">
        <v>4110.5939583333338</v>
      </c>
      <c r="H486" s="542">
        <v>19273.68</v>
      </c>
      <c r="I486" s="542">
        <v>18456.612304000002</v>
      </c>
      <c r="J486" s="542">
        <v>34175.044800000003</v>
      </c>
      <c r="K486" s="542">
        <v>855981.94356233347</v>
      </c>
      <c r="L486" s="542">
        <v>128397.29153435002</v>
      </c>
      <c r="M486" s="542">
        <v>984379.23509668349</v>
      </c>
      <c r="N486" s="543">
        <v>25581.899999999998</v>
      </c>
    </row>
    <row r="487" spans="1:14" ht="30" customHeight="1">
      <c r="A487" s="539" t="s">
        <v>241</v>
      </c>
      <c r="B487" s="545" t="s">
        <v>166</v>
      </c>
      <c r="C487" s="540" t="s">
        <v>53</v>
      </c>
      <c r="D487" s="541"/>
      <c r="E487" s="542">
        <v>4685.5249999999996</v>
      </c>
      <c r="F487" s="542"/>
      <c r="G487" s="542">
        <v>0</v>
      </c>
      <c r="H487" s="542">
        <v>0</v>
      </c>
      <c r="I487" s="542">
        <v>0</v>
      </c>
      <c r="J487" s="542">
        <v>0</v>
      </c>
      <c r="K487" s="542">
        <v>4685.5249999999996</v>
      </c>
      <c r="L487" s="542">
        <v>702.8287499999999</v>
      </c>
      <c r="M487" s="542">
        <v>5388.3537499999993</v>
      </c>
      <c r="N487" s="543">
        <v>174.85</v>
      </c>
    </row>
    <row r="488" spans="1:14" ht="30" customHeight="1">
      <c r="A488" s="539" t="s">
        <v>242</v>
      </c>
      <c r="B488" s="545" t="s">
        <v>140</v>
      </c>
      <c r="C488" s="540" t="s">
        <v>53</v>
      </c>
      <c r="D488" s="541"/>
      <c r="E488" s="542">
        <v>4685.5249999999996</v>
      </c>
      <c r="F488" s="542"/>
      <c r="G488" s="542">
        <v>35.33250000000001</v>
      </c>
      <c r="H488" s="542">
        <v>723.6</v>
      </c>
      <c r="I488" s="542">
        <v>0</v>
      </c>
      <c r="J488" s="542">
        <v>42.400800000000004</v>
      </c>
      <c r="K488" s="542">
        <v>5486.8583000000008</v>
      </c>
      <c r="L488" s="542">
        <v>823.02874500000007</v>
      </c>
      <c r="M488" s="542">
        <v>6309.8870450000013</v>
      </c>
      <c r="N488" s="543">
        <v>174.85</v>
      </c>
    </row>
    <row r="489" spans="1:14" ht="30" customHeight="1">
      <c r="A489" s="539" t="s">
        <v>274</v>
      </c>
      <c r="B489" s="545" t="s">
        <v>258</v>
      </c>
      <c r="C489" s="540"/>
      <c r="D489" s="540"/>
      <c r="E489" s="542"/>
      <c r="F489" s="542"/>
      <c r="G489" s="542"/>
      <c r="H489" s="542"/>
      <c r="I489" s="542"/>
      <c r="J489" s="542"/>
      <c r="K489" s="542"/>
      <c r="L489" s="542"/>
      <c r="M489" s="542"/>
      <c r="N489" s="543"/>
    </row>
    <row r="490" spans="1:14" ht="50.1" customHeight="1">
      <c r="A490" s="546" t="s">
        <v>34</v>
      </c>
      <c r="B490" s="1813" t="s">
        <v>275</v>
      </c>
      <c r="C490" s="1813"/>
      <c r="D490" s="1813"/>
      <c r="E490" s="550">
        <v>710403.35625000007</v>
      </c>
      <c r="F490" s="550">
        <v>0</v>
      </c>
      <c r="G490" s="550">
        <v>3731.3338125000009</v>
      </c>
      <c r="H490" s="550">
        <v>17997.552</v>
      </c>
      <c r="I490" s="550">
        <v>16610.951073600001</v>
      </c>
      <c r="J490" s="550">
        <v>30795.701040000007</v>
      </c>
      <c r="K490" s="542">
        <v>779538.89417610003</v>
      </c>
      <c r="L490" s="542">
        <v>116930.83412641501</v>
      </c>
      <c r="M490" s="542">
        <v>896469.728302515</v>
      </c>
      <c r="N490" s="551">
        <v>23023.71</v>
      </c>
    </row>
    <row r="491" spans="1:14" ht="50.1" customHeight="1">
      <c r="A491" s="546" t="s">
        <v>35</v>
      </c>
      <c r="B491" s="1813" t="s">
        <v>276</v>
      </c>
      <c r="C491" s="1813"/>
      <c r="D491" s="1813"/>
      <c r="E491" s="550"/>
      <c r="F491" s="550"/>
      <c r="G491" s="550"/>
      <c r="H491" s="550"/>
      <c r="I491" s="550"/>
      <c r="J491" s="550"/>
      <c r="K491" s="550"/>
      <c r="L491" s="550"/>
      <c r="M491" s="550"/>
      <c r="N491" s="551"/>
    </row>
    <row r="492" spans="1:14" s="530" customFormat="1" ht="24.95" customHeight="1">
      <c r="A492" s="535" t="str">
        <f>NCong!A418</f>
        <v>VII</v>
      </c>
      <c r="B492" s="1831" t="str">
        <f>NCong!B418</f>
        <v>Đăng ký biến động đất đai đối với hộ gia đình, cá nhân, cộng đồng dân cư, người gốc Việt Nam định cư ở nước ngoài</v>
      </c>
      <c r="C492" s="1831"/>
      <c r="D492" s="1831"/>
      <c r="E492" s="1831"/>
      <c r="F492" s="1831"/>
      <c r="G492" s="1831"/>
      <c r="H492" s="1831"/>
      <c r="I492" s="1831"/>
      <c r="J492" s="1831"/>
      <c r="K492" s="1831"/>
      <c r="L492" s="1831"/>
      <c r="M492" s="1831"/>
      <c r="N492" s="1841"/>
    </row>
    <row r="493" spans="1:14" s="530" customFormat="1" ht="24.95" customHeight="1">
      <c r="A493" s="535"/>
      <c r="B493" s="1837" t="s">
        <v>516</v>
      </c>
      <c r="C493" s="1837"/>
      <c r="D493" s="1837"/>
      <c r="E493" s="1837"/>
      <c r="F493" s="1837"/>
      <c r="G493" s="1837"/>
      <c r="H493" s="1837"/>
      <c r="I493" s="1837"/>
      <c r="J493" s="1837"/>
      <c r="K493" s="1837"/>
      <c r="L493" s="1837"/>
      <c r="M493" s="1837"/>
      <c r="N493" s="1838"/>
    </row>
    <row r="494" spans="1:14" s="530" customFormat="1" ht="30" customHeight="1">
      <c r="A494" s="535" t="s">
        <v>20</v>
      </c>
      <c r="B494" s="584" t="s">
        <v>430</v>
      </c>
      <c r="C494" s="585" t="s">
        <v>53</v>
      </c>
      <c r="D494" s="584"/>
      <c r="E494" s="537" t="e">
        <f t="shared" ref="E494:J494" si="75">E495+E496+E497</f>
        <v>#REF!</v>
      </c>
      <c r="F494" s="537">
        <f t="shared" si="75"/>
        <v>0</v>
      </c>
      <c r="G494" s="537">
        <f t="shared" si="75"/>
        <v>15588.302071794873</v>
      </c>
      <c r="H494" s="537">
        <f t="shared" si="75"/>
        <v>22899.599999999999</v>
      </c>
      <c r="I494" s="537" t="e">
        <f t="shared" si="75"/>
        <v>#REF!</v>
      </c>
      <c r="J494" s="537" t="e">
        <f t="shared" si="75"/>
        <v>#REF!</v>
      </c>
      <c r="K494" s="537" t="e">
        <f>SUM(E494:J494)</f>
        <v>#REF!</v>
      </c>
      <c r="L494" s="537" t="e">
        <f>$L$4*K494</f>
        <v>#REF!</v>
      </c>
      <c r="M494" s="537" t="e">
        <f>K494+L494</f>
        <v>#REF!</v>
      </c>
      <c r="N494" s="538" t="e">
        <f>N495+N496+N497</f>
        <v>#REF!</v>
      </c>
    </row>
    <row r="495" spans="1:14" s="544" customFormat="1" ht="30" customHeight="1">
      <c r="A495" s="539" t="str">
        <f>NCong!A419</f>
        <v>VII.1</v>
      </c>
      <c r="B495" s="545" t="str">
        <f>NCong!B419</f>
        <v>CÁC NỘI DUNG THỰC HIỆN TẠI ĐỊA BÀN XÃ, PHƯỜNG</v>
      </c>
      <c r="C495" s="540" t="s">
        <v>53</v>
      </c>
      <c r="D495" s="541">
        <f>NCong!E419</f>
        <v>0</v>
      </c>
      <c r="E495" s="542">
        <f>NCong!K419</f>
        <v>1854215.415</v>
      </c>
      <c r="F495" s="542"/>
      <c r="G495" s="542">
        <f>Dcu!L211</f>
        <v>0</v>
      </c>
      <c r="H495" s="542">
        <f>VLieu!J155</f>
        <v>0</v>
      </c>
      <c r="I495" s="542" t="e">
        <f>Tbi!#REF!</f>
        <v>#REF!</v>
      </c>
      <c r="J495" s="542" t="e">
        <f>Tbi!#REF!+Dcu!L210</f>
        <v>#REF!</v>
      </c>
      <c r="K495" s="542" t="e">
        <f>SUM(E495:J495)</f>
        <v>#REF!</v>
      </c>
      <c r="L495" s="542" t="e">
        <f>$L$4*K495</f>
        <v>#REF!</v>
      </c>
      <c r="M495" s="542" t="e">
        <f>K495+L495</f>
        <v>#REF!</v>
      </c>
      <c r="N495" s="543">
        <f>NCong!N419</f>
        <v>98397.760499999989</v>
      </c>
    </row>
    <row r="496" spans="1:14" s="544" customFormat="1" ht="30" customHeight="1">
      <c r="A496" s="539">
        <f>NCong!A467</f>
        <v>0</v>
      </c>
      <c r="B496" s="545">
        <f>NCong!B467</f>
        <v>0</v>
      </c>
      <c r="C496" s="540" t="s">
        <v>53</v>
      </c>
      <c r="D496" s="541">
        <f>NCong!E467</f>
        <v>0</v>
      </c>
      <c r="E496" s="542">
        <f>NCong!K467</f>
        <v>0</v>
      </c>
      <c r="F496" s="542"/>
      <c r="G496" s="542"/>
      <c r="H496" s="542"/>
      <c r="I496" s="542"/>
      <c r="J496" s="542"/>
      <c r="K496" s="542">
        <f>SUM(E496:J496)</f>
        <v>0</v>
      </c>
      <c r="L496" s="542">
        <f>$L$4*K496</f>
        <v>0</v>
      </c>
      <c r="M496" s="542">
        <f>K496+L496</f>
        <v>0</v>
      </c>
      <c r="N496" s="543">
        <f>NCong!N467</f>
        <v>0</v>
      </c>
    </row>
    <row r="497" spans="1:14" s="544" customFormat="1" ht="30" customHeight="1">
      <c r="A497" s="539" t="e">
        <f>NCong!#REF!</f>
        <v>#REF!</v>
      </c>
      <c r="B497" s="545" t="e">
        <f>NCong!#REF!</f>
        <v>#REF!</v>
      </c>
      <c r="C497" s="540" t="s">
        <v>53</v>
      </c>
      <c r="D497" s="541" t="e">
        <f>NCong!#REF!</f>
        <v>#REF!</v>
      </c>
      <c r="E497" s="542" t="e">
        <f>NCong!#REF!</f>
        <v>#REF!</v>
      </c>
      <c r="F497" s="542"/>
      <c r="G497" s="542">
        <f>Dcu!K211</f>
        <v>15588.302071794873</v>
      </c>
      <c r="H497" s="542">
        <f>VLieu!I155</f>
        <v>22899.599999999999</v>
      </c>
      <c r="I497" s="542" t="e">
        <f>Tbi!#REF!</f>
        <v>#REF!</v>
      </c>
      <c r="J497" s="542" t="e">
        <f>Tbi!#REF!+Dcu!K210</f>
        <v>#REF!</v>
      </c>
      <c r="K497" s="542" t="e">
        <f>SUM(E497:J497)</f>
        <v>#REF!</v>
      </c>
      <c r="L497" s="542" t="e">
        <f>$L$4*K497</f>
        <v>#REF!</v>
      </c>
      <c r="M497" s="542" t="e">
        <f>K497+L497</f>
        <v>#REF!</v>
      </c>
      <c r="N497" s="543" t="e">
        <f>NCong!#REF!</f>
        <v>#REF!</v>
      </c>
    </row>
    <row r="498" spans="1:14" s="544" customFormat="1" ht="30" customHeight="1">
      <c r="A498" s="539" t="str">
        <f>NCong!A469</f>
        <v>VII.2</v>
      </c>
      <c r="B498" s="545" t="str">
        <f>NCong!B469</f>
        <v>GHI CHÚ</v>
      </c>
      <c r="C498" s="540">
        <f>NCong!C469</f>
        <v>0</v>
      </c>
      <c r="D498" s="540">
        <f>NCong!E469</f>
        <v>0</v>
      </c>
      <c r="E498" s="542"/>
      <c r="F498" s="542"/>
      <c r="G498" s="542"/>
      <c r="H498" s="542"/>
      <c r="I498" s="542"/>
      <c r="J498" s="542"/>
      <c r="K498" s="542"/>
      <c r="L498" s="542"/>
      <c r="M498" s="542"/>
      <c r="N498" s="543"/>
    </row>
    <row r="499" spans="1:14" s="534" customFormat="1" ht="60" customHeight="1">
      <c r="A499" s="578"/>
      <c r="B499" s="1839" t="str">
        <f>NCong!B471</f>
        <v>Trường hợp đăng ký biến động đất đai mà thực hiện cấp mới GCN thì áp dụng định mức của Bảng này. Trường hợp đăng ký biến động đất đai mà không thực hiện cấp mới GCN thì áp dụng theo quy định tại Bảng 15 sau đây</v>
      </c>
      <c r="C499" s="1839">
        <f>NCong!C471</f>
        <v>0</v>
      </c>
      <c r="D499" s="1839">
        <f>NCong!E471</f>
        <v>0</v>
      </c>
      <c r="E499" s="570"/>
      <c r="F499" s="570"/>
      <c r="G499" s="570"/>
      <c r="H499" s="570"/>
      <c r="I499" s="570"/>
      <c r="J499" s="570"/>
      <c r="K499" s="570"/>
      <c r="L499" s="570"/>
      <c r="M499" s="570"/>
      <c r="N499" s="571"/>
    </row>
    <row r="500" spans="1:14" ht="50.1" customHeight="1">
      <c r="A500" s="546" t="e">
        <f>NCong!#REF!</f>
        <v>#REF!</v>
      </c>
      <c r="B500" s="559" t="e">
        <f>NCong!#REF!</f>
        <v>#REF!</v>
      </c>
      <c r="C500" s="548" t="s">
        <v>53</v>
      </c>
      <c r="D500" s="548"/>
      <c r="E500" s="550" t="e">
        <f>NCong!#REF!</f>
        <v>#REF!</v>
      </c>
      <c r="F500" s="550"/>
      <c r="G500" s="550" t="e">
        <f>G$494*NCong!#REF!</f>
        <v>#REF!</v>
      </c>
      <c r="H500" s="550" t="e">
        <f>VLieu!$J$158+VLieu!$I$158</f>
        <v>#REF!</v>
      </c>
      <c r="I500" s="550" t="e">
        <f>I$494*0.6</f>
        <v>#REF!</v>
      </c>
      <c r="J500" s="550" t="e">
        <f>J$494*0.6</f>
        <v>#REF!</v>
      </c>
      <c r="K500" s="550" t="e">
        <f>SUM(E500:J500)</f>
        <v>#REF!</v>
      </c>
      <c r="L500" s="550" t="e">
        <f>$L$4*K500</f>
        <v>#REF!</v>
      </c>
      <c r="M500" s="550" t="e">
        <f>K500+L500</f>
        <v>#REF!</v>
      </c>
      <c r="N500" s="551" t="e">
        <f>NCong!#REF!</f>
        <v>#REF!</v>
      </c>
    </row>
    <row r="501" spans="1:14" ht="50.1" customHeight="1">
      <c r="A501" s="546" t="e">
        <f>NCong!#REF!</f>
        <v>#REF!</v>
      </c>
      <c r="B501" s="559" t="e">
        <f>NCong!#REF!</f>
        <v>#REF!</v>
      </c>
      <c r="C501" s="548" t="s">
        <v>53</v>
      </c>
      <c r="D501" s="548"/>
      <c r="E501" s="550" t="e">
        <f>NCong!#REF!</f>
        <v>#REF!</v>
      </c>
      <c r="F501" s="550"/>
      <c r="G501" s="550" t="e">
        <f>G$494*NCong!#REF!</f>
        <v>#REF!</v>
      </c>
      <c r="H501" s="550" t="e">
        <f>VLieu!$J$158+VLieu!$I$158</f>
        <v>#REF!</v>
      </c>
      <c r="I501" s="550" t="e">
        <f t="shared" ref="I501:J528" si="76">I$494*0.6</f>
        <v>#REF!</v>
      </c>
      <c r="J501" s="550" t="e">
        <f t="shared" si="76"/>
        <v>#REF!</v>
      </c>
      <c r="K501" s="550" t="e">
        <f t="shared" ref="K501:K528" si="77">SUM(E501:J501)</f>
        <v>#REF!</v>
      </c>
      <c r="L501" s="550" t="e">
        <f t="shared" ref="L501:L528" si="78">$L$4*K501</f>
        <v>#REF!</v>
      </c>
      <c r="M501" s="550" t="e">
        <f t="shared" ref="M501:M528" si="79">K501+L501</f>
        <v>#REF!</v>
      </c>
      <c r="N501" s="551" t="e">
        <f>NCong!#REF!</f>
        <v>#REF!</v>
      </c>
    </row>
    <row r="502" spans="1:14" ht="32.1" customHeight="1">
      <c r="A502" s="546" t="e">
        <f>NCong!#REF!</f>
        <v>#REF!</v>
      </c>
      <c r="B502" s="559" t="e">
        <f>NCong!#REF!</f>
        <v>#REF!</v>
      </c>
      <c r="C502" s="548" t="s">
        <v>53</v>
      </c>
      <c r="D502" s="548"/>
      <c r="E502" s="550" t="e">
        <f>NCong!#REF!</f>
        <v>#REF!</v>
      </c>
      <c r="F502" s="550"/>
      <c r="G502" s="550" t="e">
        <f>G$494*NCong!#REF!</f>
        <v>#REF!</v>
      </c>
      <c r="H502" s="550" t="e">
        <f>VLieu!$J$158+VLieu!$I$158</f>
        <v>#REF!</v>
      </c>
      <c r="I502" s="550" t="e">
        <f t="shared" si="76"/>
        <v>#REF!</v>
      </c>
      <c r="J502" s="550" t="e">
        <f t="shared" si="76"/>
        <v>#REF!</v>
      </c>
      <c r="K502" s="550" t="e">
        <f t="shared" si="77"/>
        <v>#REF!</v>
      </c>
      <c r="L502" s="550" t="e">
        <f t="shared" si="78"/>
        <v>#REF!</v>
      </c>
      <c r="M502" s="550" t="e">
        <f t="shared" si="79"/>
        <v>#REF!</v>
      </c>
      <c r="N502" s="551" t="e">
        <f>NCong!#REF!</f>
        <v>#REF!</v>
      </c>
    </row>
    <row r="503" spans="1:14" ht="50.1" customHeight="1">
      <c r="A503" s="546" t="e">
        <f>NCong!#REF!</f>
        <v>#REF!</v>
      </c>
      <c r="B503" s="559" t="e">
        <f>NCong!#REF!</f>
        <v>#REF!</v>
      </c>
      <c r="C503" s="548" t="s">
        <v>53</v>
      </c>
      <c r="D503" s="548"/>
      <c r="E503" s="550" t="e">
        <f>NCong!#REF!</f>
        <v>#REF!</v>
      </c>
      <c r="F503" s="550"/>
      <c r="G503" s="550" t="e">
        <f>G$494*NCong!#REF!</f>
        <v>#REF!</v>
      </c>
      <c r="H503" s="550" t="e">
        <f>VLieu!$J$158+VLieu!$I$158</f>
        <v>#REF!</v>
      </c>
      <c r="I503" s="550" t="e">
        <f t="shared" si="76"/>
        <v>#REF!</v>
      </c>
      <c r="J503" s="550" t="e">
        <f t="shared" si="76"/>
        <v>#REF!</v>
      </c>
      <c r="K503" s="550" t="e">
        <f t="shared" si="77"/>
        <v>#REF!</v>
      </c>
      <c r="L503" s="550" t="e">
        <f t="shared" si="78"/>
        <v>#REF!</v>
      </c>
      <c r="M503" s="550" t="e">
        <f t="shared" si="79"/>
        <v>#REF!</v>
      </c>
      <c r="N503" s="551" t="e">
        <f>NCong!#REF!</f>
        <v>#REF!</v>
      </c>
    </row>
    <row r="504" spans="1:14" ht="50.1" customHeight="1">
      <c r="A504" s="546" t="e">
        <f>NCong!#REF!</f>
        <v>#REF!</v>
      </c>
      <c r="B504" s="559" t="e">
        <f>NCong!#REF!</f>
        <v>#REF!</v>
      </c>
      <c r="C504" s="548" t="s">
        <v>53</v>
      </c>
      <c r="D504" s="548"/>
      <c r="E504" s="550" t="e">
        <f>NCong!#REF!</f>
        <v>#REF!</v>
      </c>
      <c r="F504" s="550"/>
      <c r="G504" s="550" t="e">
        <f>G$494*NCong!#REF!</f>
        <v>#REF!</v>
      </c>
      <c r="H504" s="550" t="e">
        <f>VLieu!$J$158+VLieu!$I$158</f>
        <v>#REF!</v>
      </c>
      <c r="I504" s="550" t="e">
        <f t="shared" si="76"/>
        <v>#REF!</v>
      </c>
      <c r="J504" s="550" t="e">
        <f t="shared" si="76"/>
        <v>#REF!</v>
      </c>
      <c r="K504" s="550" t="e">
        <f t="shared" si="77"/>
        <v>#REF!</v>
      </c>
      <c r="L504" s="550" t="e">
        <f t="shared" si="78"/>
        <v>#REF!</v>
      </c>
      <c r="M504" s="550" t="e">
        <f t="shared" si="79"/>
        <v>#REF!</v>
      </c>
      <c r="N504" s="551" t="e">
        <f>NCong!#REF!</f>
        <v>#REF!</v>
      </c>
    </row>
    <row r="505" spans="1:14" ht="39.950000000000003" customHeight="1">
      <c r="A505" s="546" t="e">
        <f>NCong!#REF!</f>
        <v>#REF!</v>
      </c>
      <c r="B505" s="559" t="e">
        <f>NCong!#REF!</f>
        <v>#REF!</v>
      </c>
      <c r="C505" s="548" t="s">
        <v>53</v>
      </c>
      <c r="D505" s="548"/>
      <c r="E505" s="550" t="e">
        <f>NCong!#REF!</f>
        <v>#REF!</v>
      </c>
      <c r="F505" s="550"/>
      <c r="G505" s="550" t="e">
        <f>G$494*NCong!#REF!</f>
        <v>#REF!</v>
      </c>
      <c r="H505" s="550" t="e">
        <f>VLieu!$J$158+VLieu!$I$158</f>
        <v>#REF!</v>
      </c>
      <c r="I505" s="550" t="e">
        <f t="shared" si="76"/>
        <v>#REF!</v>
      </c>
      <c r="J505" s="550" t="e">
        <f t="shared" si="76"/>
        <v>#REF!</v>
      </c>
      <c r="K505" s="550" t="e">
        <f t="shared" si="77"/>
        <v>#REF!</v>
      </c>
      <c r="L505" s="550" t="e">
        <f t="shared" si="78"/>
        <v>#REF!</v>
      </c>
      <c r="M505" s="550" t="e">
        <f t="shared" si="79"/>
        <v>#REF!</v>
      </c>
      <c r="N505" s="551" t="e">
        <f>NCong!#REF!</f>
        <v>#REF!</v>
      </c>
    </row>
    <row r="506" spans="1:14" ht="39.950000000000003" customHeight="1">
      <c r="A506" s="546" t="e">
        <f>NCong!#REF!</f>
        <v>#REF!</v>
      </c>
      <c r="B506" s="559" t="e">
        <f>NCong!#REF!</f>
        <v>#REF!</v>
      </c>
      <c r="C506" s="548" t="s">
        <v>53</v>
      </c>
      <c r="D506" s="548"/>
      <c r="E506" s="550" t="e">
        <f>NCong!#REF!</f>
        <v>#REF!</v>
      </c>
      <c r="F506" s="550"/>
      <c r="G506" s="550" t="e">
        <f>G$494*NCong!#REF!</f>
        <v>#REF!</v>
      </c>
      <c r="H506" s="550" t="e">
        <f>VLieu!$J$158+VLieu!$I$158</f>
        <v>#REF!</v>
      </c>
      <c r="I506" s="550" t="e">
        <f t="shared" si="76"/>
        <v>#REF!</v>
      </c>
      <c r="J506" s="550" t="e">
        <f t="shared" si="76"/>
        <v>#REF!</v>
      </c>
      <c r="K506" s="550" t="e">
        <f t="shared" si="77"/>
        <v>#REF!</v>
      </c>
      <c r="L506" s="550" t="e">
        <f t="shared" si="78"/>
        <v>#REF!</v>
      </c>
      <c r="M506" s="550" t="e">
        <f t="shared" si="79"/>
        <v>#REF!</v>
      </c>
      <c r="N506" s="551" t="e">
        <f>NCong!#REF!</f>
        <v>#REF!</v>
      </c>
    </row>
    <row r="507" spans="1:14" ht="30" customHeight="1">
      <c r="A507" s="546" t="e">
        <f>NCong!#REF!</f>
        <v>#REF!</v>
      </c>
      <c r="B507" s="559" t="e">
        <f>NCong!#REF!</f>
        <v>#REF!</v>
      </c>
      <c r="C507" s="548" t="s">
        <v>53</v>
      </c>
      <c r="D507" s="548"/>
      <c r="E507" s="550" t="e">
        <f>NCong!#REF!</f>
        <v>#REF!</v>
      </c>
      <c r="F507" s="550"/>
      <c r="G507" s="550" t="e">
        <f>G$494*NCong!#REF!</f>
        <v>#REF!</v>
      </c>
      <c r="H507" s="550" t="e">
        <f>VLieu!$J$158+VLieu!$I$158</f>
        <v>#REF!</v>
      </c>
      <c r="I507" s="550" t="e">
        <f t="shared" si="76"/>
        <v>#REF!</v>
      </c>
      <c r="J507" s="550" t="e">
        <f t="shared" si="76"/>
        <v>#REF!</v>
      </c>
      <c r="K507" s="550" t="e">
        <f t="shared" si="77"/>
        <v>#REF!</v>
      </c>
      <c r="L507" s="550" t="e">
        <f t="shared" si="78"/>
        <v>#REF!</v>
      </c>
      <c r="M507" s="550" t="e">
        <f t="shared" si="79"/>
        <v>#REF!</v>
      </c>
      <c r="N507" s="551" t="e">
        <f>NCong!#REF!</f>
        <v>#REF!</v>
      </c>
    </row>
    <row r="508" spans="1:14" ht="39.950000000000003" customHeight="1">
      <c r="A508" s="546" t="e">
        <f>NCong!#REF!</f>
        <v>#REF!</v>
      </c>
      <c r="B508" s="559" t="e">
        <f>NCong!#REF!</f>
        <v>#REF!</v>
      </c>
      <c r="C508" s="548" t="s">
        <v>53</v>
      </c>
      <c r="D508" s="548"/>
      <c r="E508" s="550" t="e">
        <f>NCong!#REF!</f>
        <v>#REF!</v>
      </c>
      <c r="F508" s="550"/>
      <c r="G508" s="550" t="e">
        <f>G$494*NCong!#REF!</f>
        <v>#REF!</v>
      </c>
      <c r="H508" s="550" t="e">
        <f>VLieu!$J$158+VLieu!$I$158</f>
        <v>#REF!</v>
      </c>
      <c r="I508" s="550" t="e">
        <f t="shared" si="76"/>
        <v>#REF!</v>
      </c>
      <c r="J508" s="550" t="e">
        <f t="shared" si="76"/>
        <v>#REF!</v>
      </c>
      <c r="K508" s="550" t="e">
        <f t="shared" si="77"/>
        <v>#REF!</v>
      </c>
      <c r="L508" s="550" t="e">
        <f t="shared" si="78"/>
        <v>#REF!</v>
      </c>
      <c r="M508" s="550" t="e">
        <f t="shared" si="79"/>
        <v>#REF!</v>
      </c>
      <c r="N508" s="551" t="e">
        <f>NCong!#REF!</f>
        <v>#REF!</v>
      </c>
    </row>
    <row r="509" spans="1:14" ht="39.950000000000003" customHeight="1">
      <c r="A509" s="546" t="e">
        <f>NCong!#REF!</f>
        <v>#REF!</v>
      </c>
      <c r="B509" s="559" t="e">
        <f>NCong!#REF!</f>
        <v>#REF!</v>
      </c>
      <c r="C509" s="548" t="s">
        <v>53</v>
      </c>
      <c r="D509" s="548"/>
      <c r="E509" s="550" t="e">
        <f>NCong!#REF!</f>
        <v>#REF!</v>
      </c>
      <c r="F509" s="550"/>
      <c r="G509" s="550" t="e">
        <f>G$494*NCong!#REF!</f>
        <v>#REF!</v>
      </c>
      <c r="H509" s="550" t="e">
        <f>VLieu!$J$158+VLieu!$I$158</f>
        <v>#REF!</v>
      </c>
      <c r="I509" s="550" t="e">
        <f t="shared" si="76"/>
        <v>#REF!</v>
      </c>
      <c r="J509" s="550" t="e">
        <f t="shared" si="76"/>
        <v>#REF!</v>
      </c>
      <c r="K509" s="550" t="e">
        <f t="shared" si="77"/>
        <v>#REF!</v>
      </c>
      <c r="L509" s="550" t="e">
        <f t="shared" si="78"/>
        <v>#REF!</v>
      </c>
      <c r="M509" s="550" t="e">
        <f t="shared" si="79"/>
        <v>#REF!</v>
      </c>
      <c r="N509" s="551" t="e">
        <f>NCong!#REF!</f>
        <v>#REF!</v>
      </c>
    </row>
    <row r="510" spans="1:14" ht="39.950000000000003" customHeight="1">
      <c r="A510" s="546" t="e">
        <f>NCong!#REF!</f>
        <v>#REF!</v>
      </c>
      <c r="B510" s="559" t="e">
        <f>NCong!#REF!</f>
        <v>#REF!</v>
      </c>
      <c r="C510" s="548" t="s">
        <v>53</v>
      </c>
      <c r="D510" s="548"/>
      <c r="E510" s="550" t="e">
        <f>NCong!#REF!</f>
        <v>#REF!</v>
      </c>
      <c r="F510" s="550"/>
      <c r="G510" s="550" t="e">
        <f>G$494*NCong!#REF!</f>
        <v>#REF!</v>
      </c>
      <c r="H510" s="550" t="e">
        <f>VLieu!$J$158+VLieu!$I$158</f>
        <v>#REF!</v>
      </c>
      <c r="I510" s="550" t="e">
        <f t="shared" si="76"/>
        <v>#REF!</v>
      </c>
      <c r="J510" s="550" t="e">
        <f t="shared" si="76"/>
        <v>#REF!</v>
      </c>
      <c r="K510" s="550" t="e">
        <f t="shared" si="77"/>
        <v>#REF!</v>
      </c>
      <c r="L510" s="550" t="e">
        <f t="shared" si="78"/>
        <v>#REF!</v>
      </c>
      <c r="M510" s="550" t="e">
        <f t="shared" si="79"/>
        <v>#REF!</v>
      </c>
      <c r="N510" s="551" t="e">
        <f>NCong!#REF!</f>
        <v>#REF!</v>
      </c>
    </row>
    <row r="511" spans="1:14" ht="39.950000000000003" customHeight="1">
      <c r="A511" s="546" t="e">
        <f>NCong!#REF!</f>
        <v>#REF!</v>
      </c>
      <c r="B511" s="559" t="e">
        <f>NCong!#REF!</f>
        <v>#REF!</v>
      </c>
      <c r="C511" s="548" t="s">
        <v>53</v>
      </c>
      <c r="D511" s="548"/>
      <c r="E511" s="550" t="e">
        <f>NCong!#REF!</f>
        <v>#REF!</v>
      </c>
      <c r="F511" s="550"/>
      <c r="G511" s="550" t="e">
        <f>G$494*NCong!#REF!</f>
        <v>#REF!</v>
      </c>
      <c r="H511" s="550" t="e">
        <f>VLieu!$J$158+VLieu!$I$158</f>
        <v>#REF!</v>
      </c>
      <c r="I511" s="550" t="e">
        <f t="shared" si="76"/>
        <v>#REF!</v>
      </c>
      <c r="J511" s="550" t="e">
        <f t="shared" si="76"/>
        <v>#REF!</v>
      </c>
      <c r="K511" s="550" t="e">
        <f t="shared" si="77"/>
        <v>#REF!</v>
      </c>
      <c r="L511" s="550" t="e">
        <f t="shared" si="78"/>
        <v>#REF!</v>
      </c>
      <c r="M511" s="550" t="e">
        <f t="shared" si="79"/>
        <v>#REF!</v>
      </c>
      <c r="N511" s="551" t="e">
        <f>NCong!#REF!</f>
        <v>#REF!</v>
      </c>
    </row>
    <row r="512" spans="1:14" ht="39.950000000000003" customHeight="1">
      <c r="A512" s="546" t="e">
        <f>NCong!#REF!</f>
        <v>#REF!</v>
      </c>
      <c r="B512" s="559" t="e">
        <f>NCong!#REF!</f>
        <v>#REF!</v>
      </c>
      <c r="C512" s="548" t="s">
        <v>53</v>
      </c>
      <c r="D512" s="548"/>
      <c r="E512" s="550" t="e">
        <f>NCong!#REF!</f>
        <v>#REF!</v>
      </c>
      <c r="F512" s="550"/>
      <c r="G512" s="550" t="e">
        <f>G$494*NCong!#REF!</f>
        <v>#REF!</v>
      </c>
      <c r="H512" s="550" t="e">
        <f>VLieu!$J$158+VLieu!$I$158</f>
        <v>#REF!</v>
      </c>
      <c r="I512" s="550" t="e">
        <f t="shared" si="76"/>
        <v>#REF!</v>
      </c>
      <c r="J512" s="550" t="e">
        <f t="shared" si="76"/>
        <v>#REF!</v>
      </c>
      <c r="K512" s="550" t="e">
        <f t="shared" si="77"/>
        <v>#REF!</v>
      </c>
      <c r="L512" s="550" t="e">
        <f t="shared" si="78"/>
        <v>#REF!</v>
      </c>
      <c r="M512" s="550" t="e">
        <f t="shared" si="79"/>
        <v>#REF!</v>
      </c>
      <c r="N512" s="551" t="e">
        <f>NCong!#REF!</f>
        <v>#REF!</v>
      </c>
    </row>
    <row r="513" spans="1:14" ht="39.950000000000003" customHeight="1">
      <c r="A513" s="546" t="e">
        <f>NCong!#REF!</f>
        <v>#REF!</v>
      </c>
      <c r="B513" s="559" t="e">
        <f>NCong!#REF!</f>
        <v>#REF!</v>
      </c>
      <c r="C513" s="548" t="s">
        <v>53</v>
      </c>
      <c r="D513" s="548"/>
      <c r="E513" s="550" t="e">
        <f>NCong!#REF!</f>
        <v>#REF!</v>
      </c>
      <c r="F513" s="550"/>
      <c r="G513" s="550" t="e">
        <f>G$494*NCong!#REF!</f>
        <v>#REF!</v>
      </c>
      <c r="H513" s="550" t="e">
        <f>VLieu!$J$158+VLieu!$I$158</f>
        <v>#REF!</v>
      </c>
      <c r="I513" s="550" t="e">
        <f t="shared" si="76"/>
        <v>#REF!</v>
      </c>
      <c r="J513" s="550" t="e">
        <f t="shared" si="76"/>
        <v>#REF!</v>
      </c>
      <c r="K513" s="550" t="e">
        <f t="shared" si="77"/>
        <v>#REF!</v>
      </c>
      <c r="L513" s="550" t="e">
        <f t="shared" si="78"/>
        <v>#REF!</v>
      </c>
      <c r="M513" s="550" t="e">
        <f t="shared" si="79"/>
        <v>#REF!</v>
      </c>
      <c r="N513" s="551" t="e">
        <f>NCong!#REF!</f>
        <v>#REF!</v>
      </c>
    </row>
    <row r="514" spans="1:14" ht="39.950000000000003" customHeight="1">
      <c r="A514" s="546" t="e">
        <f>NCong!#REF!</f>
        <v>#REF!</v>
      </c>
      <c r="B514" s="559" t="e">
        <f>NCong!#REF!</f>
        <v>#REF!</v>
      </c>
      <c r="C514" s="548" t="s">
        <v>53</v>
      </c>
      <c r="D514" s="548"/>
      <c r="E514" s="550" t="e">
        <f>NCong!#REF!</f>
        <v>#REF!</v>
      </c>
      <c r="F514" s="550"/>
      <c r="G514" s="550" t="e">
        <f>G$494*NCong!#REF!</f>
        <v>#REF!</v>
      </c>
      <c r="H514" s="550" t="e">
        <f>VLieu!$J$158+VLieu!$I$158</f>
        <v>#REF!</v>
      </c>
      <c r="I514" s="550" t="e">
        <f t="shared" si="76"/>
        <v>#REF!</v>
      </c>
      <c r="J514" s="550" t="e">
        <f t="shared" si="76"/>
        <v>#REF!</v>
      </c>
      <c r="K514" s="550" t="e">
        <f t="shared" si="77"/>
        <v>#REF!</v>
      </c>
      <c r="L514" s="550" t="e">
        <f t="shared" si="78"/>
        <v>#REF!</v>
      </c>
      <c r="M514" s="550" t="e">
        <f t="shared" si="79"/>
        <v>#REF!</v>
      </c>
      <c r="N514" s="551" t="e">
        <f>NCong!#REF!</f>
        <v>#REF!</v>
      </c>
    </row>
    <row r="515" spans="1:14" ht="50.1" customHeight="1">
      <c r="A515" s="546" t="e">
        <f>NCong!#REF!</f>
        <v>#REF!</v>
      </c>
      <c r="B515" s="559" t="e">
        <f>NCong!#REF!</f>
        <v>#REF!</v>
      </c>
      <c r="C515" s="548" t="s">
        <v>53</v>
      </c>
      <c r="D515" s="548"/>
      <c r="E515" s="550" t="e">
        <f>NCong!#REF!</f>
        <v>#REF!</v>
      </c>
      <c r="F515" s="550"/>
      <c r="G515" s="550" t="e">
        <f>G$494*NCong!#REF!</f>
        <v>#REF!</v>
      </c>
      <c r="H515" s="550" t="e">
        <f>VLieu!$J$158+VLieu!$I$158</f>
        <v>#REF!</v>
      </c>
      <c r="I515" s="550" t="e">
        <f t="shared" si="76"/>
        <v>#REF!</v>
      </c>
      <c r="J515" s="550" t="e">
        <f t="shared" si="76"/>
        <v>#REF!</v>
      </c>
      <c r="K515" s="550" t="e">
        <f t="shared" si="77"/>
        <v>#REF!</v>
      </c>
      <c r="L515" s="550" t="e">
        <f t="shared" si="78"/>
        <v>#REF!</v>
      </c>
      <c r="M515" s="550" t="e">
        <f t="shared" si="79"/>
        <v>#REF!</v>
      </c>
      <c r="N515" s="551" t="e">
        <f>NCong!#REF!</f>
        <v>#REF!</v>
      </c>
    </row>
    <row r="516" spans="1:14" ht="50.1" customHeight="1">
      <c r="A516" s="546" t="e">
        <f>NCong!#REF!</f>
        <v>#REF!</v>
      </c>
      <c r="B516" s="559" t="e">
        <f>NCong!#REF!</f>
        <v>#REF!</v>
      </c>
      <c r="C516" s="548" t="s">
        <v>53</v>
      </c>
      <c r="D516" s="548"/>
      <c r="E516" s="550" t="e">
        <f>NCong!#REF!</f>
        <v>#REF!</v>
      </c>
      <c r="F516" s="550"/>
      <c r="G516" s="550" t="e">
        <f>G$494*NCong!#REF!</f>
        <v>#REF!</v>
      </c>
      <c r="H516" s="550" t="e">
        <f>VLieu!$J$158+VLieu!$I$158</f>
        <v>#REF!</v>
      </c>
      <c r="I516" s="550" t="e">
        <f t="shared" si="76"/>
        <v>#REF!</v>
      </c>
      <c r="J516" s="550" t="e">
        <f t="shared" si="76"/>
        <v>#REF!</v>
      </c>
      <c r="K516" s="550" t="e">
        <f t="shared" si="77"/>
        <v>#REF!</v>
      </c>
      <c r="L516" s="550" t="e">
        <f t="shared" si="78"/>
        <v>#REF!</v>
      </c>
      <c r="M516" s="550" t="e">
        <f t="shared" si="79"/>
        <v>#REF!</v>
      </c>
      <c r="N516" s="551" t="e">
        <f>NCong!#REF!</f>
        <v>#REF!</v>
      </c>
    </row>
    <row r="517" spans="1:14" ht="39.950000000000003" customHeight="1">
      <c r="A517" s="546" t="e">
        <f>NCong!#REF!</f>
        <v>#REF!</v>
      </c>
      <c r="B517" s="559" t="e">
        <f>NCong!#REF!</f>
        <v>#REF!</v>
      </c>
      <c r="C517" s="548" t="s">
        <v>53</v>
      </c>
      <c r="D517" s="548"/>
      <c r="E517" s="550" t="e">
        <f>NCong!#REF!</f>
        <v>#REF!</v>
      </c>
      <c r="F517" s="550"/>
      <c r="G517" s="550" t="e">
        <f>G$494*NCong!#REF!</f>
        <v>#REF!</v>
      </c>
      <c r="H517" s="550" t="e">
        <f>VLieu!$J$158+VLieu!$I$158</f>
        <v>#REF!</v>
      </c>
      <c r="I517" s="550" t="e">
        <f t="shared" si="76"/>
        <v>#REF!</v>
      </c>
      <c r="J517" s="550" t="e">
        <f t="shared" si="76"/>
        <v>#REF!</v>
      </c>
      <c r="K517" s="550" t="e">
        <f t="shared" si="77"/>
        <v>#REF!</v>
      </c>
      <c r="L517" s="550" t="e">
        <f t="shared" si="78"/>
        <v>#REF!</v>
      </c>
      <c r="M517" s="550" t="e">
        <f t="shared" si="79"/>
        <v>#REF!</v>
      </c>
      <c r="N517" s="551" t="e">
        <f>NCong!#REF!</f>
        <v>#REF!</v>
      </c>
    </row>
    <row r="518" spans="1:14" ht="39.950000000000003" customHeight="1">
      <c r="A518" s="546" t="e">
        <f>NCong!#REF!</f>
        <v>#REF!</v>
      </c>
      <c r="B518" s="559" t="e">
        <f>NCong!#REF!</f>
        <v>#REF!</v>
      </c>
      <c r="C518" s="548" t="s">
        <v>53</v>
      </c>
      <c r="D518" s="548"/>
      <c r="E518" s="550" t="e">
        <f>NCong!#REF!</f>
        <v>#REF!</v>
      </c>
      <c r="F518" s="550"/>
      <c r="G518" s="550" t="e">
        <f>G$494*NCong!#REF!</f>
        <v>#REF!</v>
      </c>
      <c r="H518" s="550" t="e">
        <f>VLieu!$J$158+VLieu!$I$158</f>
        <v>#REF!</v>
      </c>
      <c r="I518" s="550" t="e">
        <f t="shared" si="76"/>
        <v>#REF!</v>
      </c>
      <c r="J518" s="550" t="e">
        <f t="shared" si="76"/>
        <v>#REF!</v>
      </c>
      <c r="K518" s="550" t="e">
        <f t="shared" si="77"/>
        <v>#REF!</v>
      </c>
      <c r="L518" s="550" t="e">
        <f t="shared" si="78"/>
        <v>#REF!</v>
      </c>
      <c r="M518" s="550" t="e">
        <f t="shared" si="79"/>
        <v>#REF!</v>
      </c>
      <c r="N518" s="551" t="e">
        <f>NCong!#REF!</f>
        <v>#REF!</v>
      </c>
    </row>
    <row r="519" spans="1:14" ht="65.099999999999994" customHeight="1">
      <c r="A519" s="546" t="e">
        <f>NCong!#REF!</f>
        <v>#REF!</v>
      </c>
      <c r="B519" s="559" t="e">
        <f>NCong!#REF!</f>
        <v>#REF!</v>
      </c>
      <c r="C519" s="548" t="s">
        <v>53</v>
      </c>
      <c r="D519" s="548"/>
      <c r="E519" s="550" t="e">
        <f>NCong!#REF!</f>
        <v>#REF!</v>
      </c>
      <c r="F519" s="550"/>
      <c r="G519" s="550" t="e">
        <f>G$494*NCong!#REF!</f>
        <v>#REF!</v>
      </c>
      <c r="H519" s="550" t="e">
        <f>VLieu!$J$158+VLieu!$I$158</f>
        <v>#REF!</v>
      </c>
      <c r="I519" s="550" t="e">
        <f t="shared" si="76"/>
        <v>#REF!</v>
      </c>
      <c r="J519" s="550" t="e">
        <f t="shared" si="76"/>
        <v>#REF!</v>
      </c>
      <c r="K519" s="550" t="e">
        <f t="shared" si="77"/>
        <v>#REF!</v>
      </c>
      <c r="L519" s="550" t="e">
        <f t="shared" si="78"/>
        <v>#REF!</v>
      </c>
      <c r="M519" s="550" t="e">
        <f t="shared" si="79"/>
        <v>#REF!</v>
      </c>
      <c r="N519" s="551" t="e">
        <f>NCong!#REF!</f>
        <v>#REF!</v>
      </c>
    </row>
    <row r="520" spans="1:14" ht="35.1" customHeight="1">
      <c r="A520" s="546" t="e">
        <f>NCong!#REF!</f>
        <v>#REF!</v>
      </c>
      <c r="B520" s="559" t="e">
        <f>NCong!#REF!</f>
        <v>#REF!</v>
      </c>
      <c r="C520" s="548" t="s">
        <v>53</v>
      </c>
      <c r="D520" s="548"/>
      <c r="E520" s="550" t="e">
        <f>NCong!#REF!</f>
        <v>#REF!</v>
      </c>
      <c r="F520" s="550"/>
      <c r="G520" s="550" t="e">
        <f>G$494*NCong!#REF!</f>
        <v>#REF!</v>
      </c>
      <c r="H520" s="550" t="e">
        <f>VLieu!$J$158+VLieu!$I$158</f>
        <v>#REF!</v>
      </c>
      <c r="I520" s="550" t="e">
        <f t="shared" si="76"/>
        <v>#REF!</v>
      </c>
      <c r="J520" s="550" t="e">
        <f t="shared" si="76"/>
        <v>#REF!</v>
      </c>
      <c r="K520" s="550" t="e">
        <f t="shared" si="77"/>
        <v>#REF!</v>
      </c>
      <c r="L520" s="550" t="e">
        <f t="shared" si="78"/>
        <v>#REF!</v>
      </c>
      <c r="M520" s="550" t="e">
        <f t="shared" si="79"/>
        <v>#REF!</v>
      </c>
      <c r="N520" s="551" t="e">
        <f>NCong!#REF!</f>
        <v>#REF!</v>
      </c>
    </row>
    <row r="521" spans="1:14" ht="30" customHeight="1">
      <c r="A521" s="546" t="e">
        <f>NCong!#REF!</f>
        <v>#REF!</v>
      </c>
      <c r="B521" s="559" t="e">
        <f>NCong!#REF!</f>
        <v>#REF!</v>
      </c>
      <c r="C521" s="548" t="s">
        <v>53</v>
      </c>
      <c r="D521" s="548"/>
      <c r="E521" s="550" t="e">
        <f>NCong!#REF!</f>
        <v>#REF!</v>
      </c>
      <c r="F521" s="550"/>
      <c r="G521" s="550" t="e">
        <f>G$494*NCong!#REF!</f>
        <v>#REF!</v>
      </c>
      <c r="H521" s="550" t="e">
        <f>VLieu!$J$158+VLieu!$I$158</f>
        <v>#REF!</v>
      </c>
      <c r="I521" s="550" t="e">
        <f t="shared" si="76"/>
        <v>#REF!</v>
      </c>
      <c r="J521" s="550" t="e">
        <f t="shared" si="76"/>
        <v>#REF!</v>
      </c>
      <c r="K521" s="550" t="e">
        <f t="shared" si="77"/>
        <v>#REF!</v>
      </c>
      <c r="L521" s="550" t="e">
        <f t="shared" si="78"/>
        <v>#REF!</v>
      </c>
      <c r="M521" s="550" t="e">
        <f t="shared" si="79"/>
        <v>#REF!</v>
      </c>
      <c r="N521" s="551" t="e">
        <f>NCong!#REF!</f>
        <v>#REF!</v>
      </c>
    </row>
    <row r="522" spans="1:14" ht="45" customHeight="1">
      <c r="A522" s="546" t="e">
        <f>NCong!#REF!</f>
        <v>#REF!</v>
      </c>
      <c r="B522" s="559" t="e">
        <f>NCong!#REF!</f>
        <v>#REF!</v>
      </c>
      <c r="C522" s="548" t="s">
        <v>53</v>
      </c>
      <c r="D522" s="548"/>
      <c r="E522" s="550" t="e">
        <f>NCong!#REF!</f>
        <v>#REF!</v>
      </c>
      <c r="F522" s="550"/>
      <c r="G522" s="550" t="e">
        <f>G$494*NCong!#REF!</f>
        <v>#REF!</v>
      </c>
      <c r="H522" s="550" t="e">
        <f>VLieu!$J$158+VLieu!$I$158</f>
        <v>#REF!</v>
      </c>
      <c r="I522" s="550" t="e">
        <f t="shared" si="76"/>
        <v>#REF!</v>
      </c>
      <c r="J522" s="550" t="e">
        <f t="shared" si="76"/>
        <v>#REF!</v>
      </c>
      <c r="K522" s="550" t="e">
        <f t="shared" si="77"/>
        <v>#REF!</v>
      </c>
      <c r="L522" s="550" t="e">
        <f t="shared" si="78"/>
        <v>#REF!</v>
      </c>
      <c r="M522" s="550" t="e">
        <f t="shared" si="79"/>
        <v>#REF!</v>
      </c>
      <c r="N522" s="551" t="e">
        <f>NCong!#REF!</f>
        <v>#REF!</v>
      </c>
    </row>
    <row r="523" spans="1:14" ht="99.95" customHeight="1">
      <c r="A523" s="546" t="e">
        <f>NCong!#REF!</f>
        <v>#REF!</v>
      </c>
      <c r="B523" s="559" t="e">
        <f>NCong!#REF!</f>
        <v>#REF!</v>
      </c>
      <c r="C523" s="548" t="s">
        <v>53</v>
      </c>
      <c r="D523" s="548"/>
      <c r="E523" s="550" t="e">
        <f>NCong!#REF!</f>
        <v>#REF!</v>
      </c>
      <c r="F523" s="550"/>
      <c r="G523" s="550" t="e">
        <f>G$494*NCong!#REF!</f>
        <v>#REF!</v>
      </c>
      <c r="H523" s="550" t="e">
        <f>VLieu!$J$158+VLieu!$I$158</f>
        <v>#REF!</v>
      </c>
      <c r="I523" s="550" t="e">
        <f t="shared" si="76"/>
        <v>#REF!</v>
      </c>
      <c r="J523" s="550" t="e">
        <f t="shared" si="76"/>
        <v>#REF!</v>
      </c>
      <c r="K523" s="550" t="e">
        <f t="shared" si="77"/>
        <v>#REF!</v>
      </c>
      <c r="L523" s="550" t="e">
        <f t="shared" si="78"/>
        <v>#REF!</v>
      </c>
      <c r="M523" s="550" t="e">
        <f t="shared" si="79"/>
        <v>#REF!</v>
      </c>
      <c r="N523" s="551" t="e">
        <f>NCong!#REF!</f>
        <v>#REF!</v>
      </c>
    </row>
    <row r="524" spans="1:14" ht="35.1" customHeight="1">
      <c r="A524" s="546" t="e">
        <f>NCong!#REF!</f>
        <v>#REF!</v>
      </c>
      <c r="B524" s="559" t="e">
        <f>NCong!#REF!</f>
        <v>#REF!</v>
      </c>
      <c r="C524" s="548" t="s">
        <v>53</v>
      </c>
      <c r="D524" s="548"/>
      <c r="E524" s="550" t="e">
        <f>NCong!#REF!</f>
        <v>#REF!</v>
      </c>
      <c r="F524" s="550"/>
      <c r="G524" s="550" t="e">
        <f>G$494*NCong!#REF!</f>
        <v>#REF!</v>
      </c>
      <c r="H524" s="550" t="e">
        <f>VLieu!$J$158+VLieu!$I$158</f>
        <v>#REF!</v>
      </c>
      <c r="I524" s="550" t="e">
        <f t="shared" si="76"/>
        <v>#REF!</v>
      </c>
      <c r="J524" s="550" t="e">
        <f t="shared" si="76"/>
        <v>#REF!</v>
      </c>
      <c r="K524" s="550" t="e">
        <f t="shared" si="77"/>
        <v>#REF!</v>
      </c>
      <c r="L524" s="550" t="e">
        <f t="shared" si="78"/>
        <v>#REF!</v>
      </c>
      <c r="M524" s="550" t="e">
        <f t="shared" si="79"/>
        <v>#REF!</v>
      </c>
      <c r="N524" s="551" t="e">
        <f>NCong!#REF!</f>
        <v>#REF!</v>
      </c>
    </row>
    <row r="525" spans="1:14" ht="35.1" customHeight="1">
      <c r="A525" s="546" t="e">
        <f>NCong!#REF!</f>
        <v>#REF!</v>
      </c>
      <c r="B525" s="559" t="e">
        <f>NCong!#REF!</f>
        <v>#REF!</v>
      </c>
      <c r="C525" s="548" t="s">
        <v>53</v>
      </c>
      <c r="D525" s="548"/>
      <c r="E525" s="550" t="e">
        <f>NCong!#REF!</f>
        <v>#REF!</v>
      </c>
      <c r="F525" s="550"/>
      <c r="G525" s="550" t="e">
        <f>G$494*NCong!#REF!</f>
        <v>#REF!</v>
      </c>
      <c r="H525" s="550" t="e">
        <f>VLieu!$J$158+VLieu!$I$158</f>
        <v>#REF!</v>
      </c>
      <c r="I525" s="550" t="e">
        <f t="shared" si="76"/>
        <v>#REF!</v>
      </c>
      <c r="J525" s="550" t="e">
        <f t="shared" si="76"/>
        <v>#REF!</v>
      </c>
      <c r="K525" s="550" t="e">
        <f t="shared" si="77"/>
        <v>#REF!</v>
      </c>
      <c r="L525" s="550" t="e">
        <f t="shared" si="78"/>
        <v>#REF!</v>
      </c>
      <c r="M525" s="550" t="e">
        <f t="shared" si="79"/>
        <v>#REF!</v>
      </c>
      <c r="N525" s="551" t="e">
        <f>NCong!#REF!</f>
        <v>#REF!</v>
      </c>
    </row>
    <row r="526" spans="1:14" ht="35.1" customHeight="1">
      <c r="A526" s="546" t="e">
        <f>NCong!#REF!</f>
        <v>#REF!</v>
      </c>
      <c r="B526" s="559" t="e">
        <f>NCong!#REF!</f>
        <v>#REF!</v>
      </c>
      <c r="C526" s="548" t="s">
        <v>53</v>
      </c>
      <c r="D526" s="548"/>
      <c r="E526" s="550" t="e">
        <f>NCong!#REF!</f>
        <v>#REF!</v>
      </c>
      <c r="F526" s="550"/>
      <c r="G526" s="550" t="e">
        <f>G$494*NCong!#REF!</f>
        <v>#REF!</v>
      </c>
      <c r="H526" s="550" t="e">
        <f>VLieu!$J$158+VLieu!$I$158</f>
        <v>#REF!</v>
      </c>
      <c r="I526" s="550" t="e">
        <f t="shared" si="76"/>
        <v>#REF!</v>
      </c>
      <c r="J526" s="550" t="e">
        <f t="shared" si="76"/>
        <v>#REF!</v>
      </c>
      <c r="K526" s="550" t="e">
        <f t="shared" si="77"/>
        <v>#REF!</v>
      </c>
      <c r="L526" s="550" t="e">
        <f t="shared" si="78"/>
        <v>#REF!</v>
      </c>
      <c r="M526" s="550" t="e">
        <f t="shared" si="79"/>
        <v>#REF!</v>
      </c>
      <c r="N526" s="551" t="e">
        <f>NCong!#REF!</f>
        <v>#REF!</v>
      </c>
    </row>
    <row r="527" spans="1:14" ht="30" customHeight="1">
      <c r="A527" s="546" t="e">
        <f>NCong!#REF!</f>
        <v>#REF!</v>
      </c>
      <c r="B527" s="559" t="e">
        <f>NCong!#REF!</f>
        <v>#REF!</v>
      </c>
      <c r="C527" s="548" t="s">
        <v>53</v>
      </c>
      <c r="D527" s="548"/>
      <c r="E527" s="550" t="e">
        <f>NCong!#REF!</f>
        <v>#REF!</v>
      </c>
      <c r="F527" s="550"/>
      <c r="G527" s="550" t="e">
        <f>G$494*NCong!#REF!</f>
        <v>#REF!</v>
      </c>
      <c r="H527" s="550" t="e">
        <f>VLieu!$J$158+VLieu!$I$158</f>
        <v>#REF!</v>
      </c>
      <c r="I527" s="550" t="e">
        <f t="shared" si="76"/>
        <v>#REF!</v>
      </c>
      <c r="J527" s="550" t="e">
        <f t="shared" si="76"/>
        <v>#REF!</v>
      </c>
      <c r="K527" s="550" t="e">
        <f t="shared" si="77"/>
        <v>#REF!</v>
      </c>
      <c r="L527" s="550" t="e">
        <f t="shared" si="78"/>
        <v>#REF!</v>
      </c>
      <c r="M527" s="550" t="e">
        <f t="shared" si="79"/>
        <v>#REF!</v>
      </c>
      <c r="N527" s="551" t="e">
        <f>NCong!#REF!</f>
        <v>#REF!</v>
      </c>
    </row>
    <row r="528" spans="1:14" ht="30" customHeight="1">
      <c r="A528" s="546" t="e">
        <f>NCong!#REF!</f>
        <v>#REF!</v>
      </c>
      <c r="B528" s="559" t="e">
        <f>NCong!#REF!</f>
        <v>#REF!</v>
      </c>
      <c r="C528" s="548" t="s">
        <v>53</v>
      </c>
      <c r="D528" s="548"/>
      <c r="E528" s="550" t="e">
        <f>NCong!#REF!</f>
        <v>#REF!</v>
      </c>
      <c r="F528" s="550"/>
      <c r="G528" s="550" t="e">
        <f>G$494*NCong!#REF!</f>
        <v>#REF!</v>
      </c>
      <c r="H528" s="550" t="e">
        <f>VLieu!$J$158+VLieu!$I$158</f>
        <v>#REF!</v>
      </c>
      <c r="I528" s="550" t="e">
        <f t="shared" si="76"/>
        <v>#REF!</v>
      </c>
      <c r="J528" s="550" t="e">
        <f t="shared" si="76"/>
        <v>#REF!</v>
      </c>
      <c r="K528" s="550" t="e">
        <f t="shared" si="77"/>
        <v>#REF!</v>
      </c>
      <c r="L528" s="550" t="e">
        <f t="shared" si="78"/>
        <v>#REF!</v>
      </c>
      <c r="M528" s="550" t="e">
        <f t="shared" si="79"/>
        <v>#REF!</v>
      </c>
      <c r="N528" s="551" t="e">
        <f>NCong!#REF!</f>
        <v>#REF!</v>
      </c>
    </row>
    <row r="529" spans="1:14" s="530" customFormat="1" ht="30" customHeight="1">
      <c r="A529" s="535" t="s">
        <v>22</v>
      </c>
      <c r="B529" s="584" t="s">
        <v>431</v>
      </c>
      <c r="C529" s="585" t="s">
        <v>53</v>
      </c>
      <c r="D529" s="584"/>
      <c r="E529" s="537" t="e">
        <f t="shared" ref="E529:J529" si="80">E530+E531+E532</f>
        <v>#REF!</v>
      </c>
      <c r="F529" s="537">
        <f t="shared" si="80"/>
        <v>0</v>
      </c>
      <c r="G529" s="537">
        <f t="shared" si="80"/>
        <v>0</v>
      </c>
      <c r="H529" s="537">
        <f t="shared" si="80"/>
        <v>0</v>
      </c>
      <c r="I529" s="537" t="e">
        <f t="shared" si="80"/>
        <v>#REF!</v>
      </c>
      <c r="J529" s="537" t="e">
        <f t="shared" si="80"/>
        <v>#REF!</v>
      </c>
      <c r="K529" s="537" t="e">
        <f>SUM(E529:J529)</f>
        <v>#REF!</v>
      </c>
      <c r="L529" s="537" t="e">
        <f>$L$4*K529</f>
        <v>#REF!</v>
      </c>
      <c r="M529" s="537" t="e">
        <f>K529+L529</f>
        <v>#REF!</v>
      </c>
      <c r="N529" s="538" t="e">
        <f>N530+N531+N532</f>
        <v>#REF!</v>
      </c>
    </row>
    <row r="530" spans="1:14" s="544" customFormat="1" ht="30" customHeight="1">
      <c r="A530" s="539" t="str">
        <f t="shared" ref="A530:F545" si="81">A495</f>
        <v>VII.1</v>
      </c>
      <c r="B530" s="545" t="str">
        <f t="shared" si="81"/>
        <v>CÁC NỘI DUNG THỰC HIỆN TẠI ĐỊA BÀN XÃ, PHƯỜNG</v>
      </c>
      <c r="C530" s="540" t="str">
        <f t="shared" si="81"/>
        <v>Hồ sơ</v>
      </c>
      <c r="D530" s="541">
        <f t="shared" si="81"/>
        <v>0</v>
      </c>
      <c r="E530" s="542">
        <f t="shared" si="81"/>
        <v>1854215.415</v>
      </c>
      <c r="F530" s="542">
        <f t="shared" si="81"/>
        <v>0</v>
      </c>
      <c r="G530" s="542">
        <f>Dcu!N211</f>
        <v>0</v>
      </c>
      <c r="H530" s="542">
        <f>VLieu!L155</f>
        <v>0</v>
      </c>
      <c r="I530" s="542">
        <f>Tbi!I125</f>
        <v>13908.5008</v>
      </c>
      <c r="J530" s="542">
        <f>Tbi!I132+Dcu!N210</f>
        <v>17938.889104499998</v>
      </c>
      <c r="K530" s="542">
        <f>SUM(E530:J530)</f>
        <v>1886062.8049045</v>
      </c>
      <c r="L530" s="542">
        <f>$L$4*K530</f>
        <v>282909.42073567497</v>
      </c>
      <c r="M530" s="542">
        <f>K530+L530</f>
        <v>2168972.2256401749</v>
      </c>
      <c r="N530" s="543">
        <f>N495</f>
        <v>98397.760499999989</v>
      </c>
    </row>
    <row r="531" spans="1:14" s="544" customFormat="1" ht="30" customHeight="1">
      <c r="A531" s="539">
        <f t="shared" si="81"/>
        <v>0</v>
      </c>
      <c r="B531" s="545">
        <f t="shared" si="81"/>
        <v>0</v>
      </c>
      <c r="C531" s="540" t="str">
        <f t="shared" si="81"/>
        <v>Hồ sơ</v>
      </c>
      <c r="D531" s="541">
        <f t="shared" si="81"/>
        <v>0</v>
      </c>
      <c r="E531" s="542">
        <f t="shared" si="81"/>
        <v>0</v>
      </c>
      <c r="F531" s="542">
        <f t="shared" si="81"/>
        <v>0</v>
      </c>
      <c r="G531" s="542"/>
      <c r="H531" s="542"/>
      <c r="I531" s="542"/>
      <c r="J531" s="542"/>
      <c r="K531" s="542">
        <f>SUM(E531:J531)</f>
        <v>0</v>
      </c>
      <c r="L531" s="542">
        <f>$L$4*K531</f>
        <v>0</v>
      </c>
      <c r="M531" s="542">
        <f>K531+L531</f>
        <v>0</v>
      </c>
      <c r="N531" s="543">
        <f>N496</f>
        <v>0</v>
      </c>
    </row>
    <row r="532" spans="1:14" s="544" customFormat="1" ht="30" customHeight="1">
      <c r="A532" s="539" t="e">
        <f t="shared" si="81"/>
        <v>#REF!</v>
      </c>
      <c r="B532" s="545" t="e">
        <f t="shared" si="81"/>
        <v>#REF!</v>
      </c>
      <c r="C532" s="540" t="str">
        <f t="shared" si="81"/>
        <v>Hồ sơ</v>
      </c>
      <c r="D532" s="541" t="e">
        <f t="shared" si="81"/>
        <v>#REF!</v>
      </c>
      <c r="E532" s="542" t="e">
        <f t="shared" si="81"/>
        <v>#REF!</v>
      </c>
      <c r="F532" s="542">
        <f t="shared" si="81"/>
        <v>0</v>
      </c>
      <c r="G532" s="542">
        <f>Dcu!M211</f>
        <v>0</v>
      </c>
      <c r="H532" s="542">
        <f>VLieu!K155</f>
        <v>0</v>
      </c>
      <c r="I532" s="542" t="e">
        <f>Tbi!#REF!</f>
        <v>#REF!</v>
      </c>
      <c r="J532" s="542" t="e">
        <f>Tbi!#REF!+Dcu!M210</f>
        <v>#REF!</v>
      </c>
      <c r="K532" s="542" t="e">
        <f>SUM(E532:J532)</f>
        <v>#REF!</v>
      </c>
      <c r="L532" s="542" t="e">
        <f>$L$4*K532</f>
        <v>#REF!</v>
      </c>
      <c r="M532" s="542" t="e">
        <f>K532+L532</f>
        <v>#REF!</v>
      </c>
      <c r="N532" s="543" t="e">
        <f>N497</f>
        <v>#REF!</v>
      </c>
    </row>
    <row r="533" spans="1:14" s="544" customFormat="1" ht="30" customHeight="1">
      <c r="A533" s="539" t="str">
        <f t="shared" si="81"/>
        <v>VII.2</v>
      </c>
      <c r="B533" s="545" t="str">
        <f t="shared" si="81"/>
        <v>GHI CHÚ</v>
      </c>
      <c r="C533" s="540">
        <f t="shared" si="81"/>
        <v>0</v>
      </c>
      <c r="D533" s="540">
        <f t="shared" si="81"/>
        <v>0</v>
      </c>
      <c r="E533" s="542">
        <f t="shared" si="81"/>
        <v>0</v>
      </c>
      <c r="F533" s="542">
        <f t="shared" si="81"/>
        <v>0</v>
      </c>
      <c r="G533" s="542"/>
      <c r="H533" s="542"/>
      <c r="I533" s="542"/>
      <c r="J533" s="542"/>
      <c r="K533" s="542">
        <f>SUM(E533:J533)</f>
        <v>0</v>
      </c>
      <c r="L533" s="542">
        <f>$L$4*K533</f>
        <v>0</v>
      </c>
      <c r="M533" s="542">
        <f>K533+L533</f>
        <v>0</v>
      </c>
      <c r="N533" s="543">
        <f>N498</f>
        <v>0</v>
      </c>
    </row>
    <row r="534" spans="1:14" s="534" customFormat="1" ht="69.95" customHeight="1">
      <c r="A534" s="578">
        <f t="shared" si="81"/>
        <v>0</v>
      </c>
      <c r="B534" s="1839" t="str">
        <f t="shared" si="81"/>
        <v>Trường hợp đăng ký biến động đất đai mà thực hiện cấp mới GCN thì áp dụng định mức của Bảng này. Trường hợp đăng ký biến động đất đai mà không thực hiện cấp mới GCN thì áp dụng theo quy định tại Bảng 15 sau đây</v>
      </c>
      <c r="C534" s="1839">
        <f t="shared" si="81"/>
        <v>0</v>
      </c>
      <c r="D534" s="1839">
        <f t="shared" si="81"/>
        <v>0</v>
      </c>
      <c r="E534" s="570"/>
      <c r="F534" s="570"/>
      <c r="G534" s="570"/>
      <c r="H534" s="570"/>
      <c r="I534" s="570"/>
      <c r="J534" s="570"/>
      <c r="K534" s="570"/>
      <c r="L534" s="570"/>
      <c r="M534" s="570"/>
      <c r="N534" s="571"/>
    </row>
    <row r="535" spans="1:14" ht="50.1" customHeight="1">
      <c r="A535" s="546" t="e">
        <f t="shared" si="81"/>
        <v>#REF!</v>
      </c>
      <c r="B535" s="559" t="e">
        <f t="shared" si="81"/>
        <v>#REF!</v>
      </c>
      <c r="C535" s="548" t="str">
        <f t="shared" si="81"/>
        <v>Hồ sơ</v>
      </c>
      <c r="D535" s="548">
        <f t="shared" si="81"/>
        <v>0</v>
      </c>
      <c r="E535" s="550" t="e">
        <f t="shared" si="81"/>
        <v>#REF!</v>
      </c>
      <c r="F535" s="550">
        <f t="shared" si="81"/>
        <v>0</v>
      </c>
      <c r="G535" s="550">
        <f>G$494*NCong!$G477</f>
        <v>0</v>
      </c>
      <c r="H535" s="550" t="e">
        <f>VLieu!$J$158+VLieu!$I$158</f>
        <v>#REF!</v>
      </c>
      <c r="I535" s="550" t="e">
        <f>I$494*0.6</f>
        <v>#REF!</v>
      </c>
      <c r="J535" s="550" t="e">
        <f>J$494*0.6</f>
        <v>#REF!</v>
      </c>
      <c r="K535" s="550" t="e">
        <f>SUM(E535:J535)</f>
        <v>#REF!</v>
      </c>
      <c r="L535" s="550" t="e">
        <f>$L$4*K535</f>
        <v>#REF!</v>
      </c>
      <c r="M535" s="550" t="e">
        <f>K535+L535</f>
        <v>#REF!</v>
      </c>
      <c r="N535" s="551" t="e">
        <f t="shared" ref="N535:N550" si="82">N500</f>
        <v>#REF!</v>
      </c>
    </row>
    <row r="536" spans="1:14" ht="50.1" customHeight="1">
      <c r="A536" s="546" t="e">
        <f t="shared" si="81"/>
        <v>#REF!</v>
      </c>
      <c r="B536" s="559" t="e">
        <f t="shared" si="81"/>
        <v>#REF!</v>
      </c>
      <c r="C536" s="548" t="str">
        <f t="shared" si="81"/>
        <v>Hồ sơ</v>
      </c>
      <c r="D536" s="548">
        <f t="shared" si="81"/>
        <v>0</v>
      </c>
      <c r="E536" s="550" t="e">
        <f t="shared" si="81"/>
        <v>#REF!</v>
      </c>
      <c r="F536" s="550">
        <f t="shared" si="81"/>
        <v>0</v>
      </c>
      <c r="G536" s="550">
        <f>G$494*NCong!$G478</f>
        <v>3117.6604143589748</v>
      </c>
      <c r="H536" s="550" t="e">
        <f>VLieu!$J$158+VLieu!$I$158</f>
        <v>#REF!</v>
      </c>
      <c r="I536" s="550" t="e">
        <f t="shared" ref="I536:J563" si="83">I$494*0.6</f>
        <v>#REF!</v>
      </c>
      <c r="J536" s="550" t="e">
        <f t="shared" si="83"/>
        <v>#REF!</v>
      </c>
      <c r="K536" s="550" t="e">
        <f t="shared" ref="K536:K563" si="84">SUM(E536:J536)</f>
        <v>#REF!</v>
      </c>
      <c r="L536" s="550" t="e">
        <f t="shared" ref="L536:L563" si="85">$L$4*K536</f>
        <v>#REF!</v>
      </c>
      <c r="M536" s="550" t="e">
        <f t="shared" ref="M536:M563" si="86">K536+L536</f>
        <v>#REF!</v>
      </c>
      <c r="N536" s="551" t="e">
        <f t="shared" si="82"/>
        <v>#REF!</v>
      </c>
    </row>
    <row r="537" spans="1:14" ht="39.950000000000003" customHeight="1">
      <c r="A537" s="546" t="e">
        <f t="shared" si="81"/>
        <v>#REF!</v>
      </c>
      <c r="B537" s="559" t="e">
        <f t="shared" si="81"/>
        <v>#REF!</v>
      </c>
      <c r="C537" s="548" t="str">
        <f t="shared" si="81"/>
        <v>Hồ sơ</v>
      </c>
      <c r="D537" s="548">
        <f t="shared" si="81"/>
        <v>0</v>
      </c>
      <c r="E537" s="550" t="e">
        <f t="shared" si="81"/>
        <v>#REF!</v>
      </c>
      <c r="F537" s="550">
        <f t="shared" si="81"/>
        <v>0</v>
      </c>
      <c r="G537" s="550">
        <f>G$494*NCong!$G479</f>
        <v>2338.2453107692309</v>
      </c>
      <c r="H537" s="550" t="e">
        <f>VLieu!$J$158+VLieu!$I$158</f>
        <v>#REF!</v>
      </c>
      <c r="I537" s="550" t="e">
        <f t="shared" si="83"/>
        <v>#REF!</v>
      </c>
      <c r="J537" s="550" t="e">
        <f t="shared" si="83"/>
        <v>#REF!</v>
      </c>
      <c r="K537" s="550" t="e">
        <f t="shared" si="84"/>
        <v>#REF!</v>
      </c>
      <c r="L537" s="550" t="e">
        <f t="shared" si="85"/>
        <v>#REF!</v>
      </c>
      <c r="M537" s="550" t="e">
        <f t="shared" si="86"/>
        <v>#REF!</v>
      </c>
      <c r="N537" s="551" t="e">
        <f t="shared" si="82"/>
        <v>#REF!</v>
      </c>
    </row>
    <row r="538" spans="1:14" ht="39.950000000000003" customHeight="1">
      <c r="A538" s="546" t="e">
        <f t="shared" si="81"/>
        <v>#REF!</v>
      </c>
      <c r="B538" s="559" t="e">
        <f t="shared" si="81"/>
        <v>#REF!</v>
      </c>
      <c r="C538" s="548" t="str">
        <f t="shared" si="81"/>
        <v>Hồ sơ</v>
      </c>
      <c r="D538" s="548">
        <f t="shared" si="81"/>
        <v>0</v>
      </c>
      <c r="E538" s="550" t="e">
        <f t="shared" si="81"/>
        <v>#REF!</v>
      </c>
      <c r="F538" s="550">
        <f t="shared" si="81"/>
        <v>0</v>
      </c>
      <c r="G538" s="550">
        <f>G$494*NCong!$G480</f>
        <v>4676.4906215384617</v>
      </c>
      <c r="H538" s="550" t="e">
        <f>VLieu!$J$158+VLieu!$I$158</f>
        <v>#REF!</v>
      </c>
      <c r="I538" s="550" t="e">
        <f t="shared" si="83"/>
        <v>#REF!</v>
      </c>
      <c r="J538" s="550" t="e">
        <f t="shared" si="83"/>
        <v>#REF!</v>
      </c>
      <c r="K538" s="550" t="e">
        <f t="shared" si="84"/>
        <v>#REF!</v>
      </c>
      <c r="L538" s="550" t="e">
        <f t="shared" si="85"/>
        <v>#REF!</v>
      </c>
      <c r="M538" s="550" t="e">
        <f t="shared" si="86"/>
        <v>#REF!</v>
      </c>
      <c r="N538" s="551" t="e">
        <f t="shared" si="82"/>
        <v>#REF!</v>
      </c>
    </row>
    <row r="539" spans="1:14" ht="50.1" customHeight="1">
      <c r="A539" s="546" t="e">
        <f t="shared" si="81"/>
        <v>#REF!</v>
      </c>
      <c r="B539" s="559" t="e">
        <f t="shared" si="81"/>
        <v>#REF!</v>
      </c>
      <c r="C539" s="548" t="str">
        <f t="shared" si="81"/>
        <v>Hồ sơ</v>
      </c>
      <c r="D539" s="548">
        <f t="shared" si="81"/>
        <v>0</v>
      </c>
      <c r="E539" s="550" t="e">
        <f t="shared" si="81"/>
        <v>#REF!</v>
      </c>
      <c r="F539" s="550">
        <f t="shared" si="81"/>
        <v>0</v>
      </c>
      <c r="G539" s="550">
        <f>G$494*NCong!$G481</f>
        <v>1667.9483216820513</v>
      </c>
      <c r="H539" s="550" t="e">
        <f>VLieu!$J$158+VLieu!$I$158</f>
        <v>#REF!</v>
      </c>
      <c r="I539" s="550" t="e">
        <f t="shared" si="83"/>
        <v>#REF!</v>
      </c>
      <c r="J539" s="550" t="e">
        <f t="shared" si="83"/>
        <v>#REF!</v>
      </c>
      <c r="K539" s="550" t="e">
        <f t="shared" si="84"/>
        <v>#REF!</v>
      </c>
      <c r="L539" s="550" t="e">
        <f t="shared" si="85"/>
        <v>#REF!</v>
      </c>
      <c r="M539" s="550" t="e">
        <f t="shared" si="86"/>
        <v>#REF!</v>
      </c>
      <c r="N539" s="551" t="e">
        <f t="shared" si="82"/>
        <v>#REF!</v>
      </c>
    </row>
    <row r="540" spans="1:14" ht="39.950000000000003" customHeight="1">
      <c r="A540" s="546" t="e">
        <f t="shared" si="81"/>
        <v>#REF!</v>
      </c>
      <c r="B540" s="559" t="e">
        <f t="shared" si="81"/>
        <v>#REF!</v>
      </c>
      <c r="C540" s="548" t="str">
        <f t="shared" si="81"/>
        <v>Hồ sơ</v>
      </c>
      <c r="D540" s="548">
        <f t="shared" si="81"/>
        <v>0</v>
      </c>
      <c r="E540" s="550" t="e">
        <f t="shared" si="81"/>
        <v>#REF!</v>
      </c>
      <c r="F540" s="550">
        <f t="shared" si="81"/>
        <v>0</v>
      </c>
      <c r="G540" s="550">
        <f>G$494*NCong!$G485</f>
        <v>62.353208287179491</v>
      </c>
      <c r="H540" s="550" t="e">
        <f>VLieu!$J$158+VLieu!$I$158</f>
        <v>#REF!</v>
      </c>
      <c r="I540" s="550" t="e">
        <f t="shared" si="83"/>
        <v>#REF!</v>
      </c>
      <c r="J540" s="550" t="e">
        <f t="shared" si="83"/>
        <v>#REF!</v>
      </c>
      <c r="K540" s="550" t="e">
        <f t="shared" si="84"/>
        <v>#REF!</v>
      </c>
      <c r="L540" s="550" t="e">
        <f t="shared" si="85"/>
        <v>#REF!</v>
      </c>
      <c r="M540" s="550" t="e">
        <f t="shared" si="86"/>
        <v>#REF!</v>
      </c>
      <c r="N540" s="551" t="e">
        <f t="shared" si="82"/>
        <v>#REF!</v>
      </c>
    </row>
    <row r="541" spans="1:14" ht="39.950000000000003" customHeight="1">
      <c r="A541" s="546" t="e">
        <f t="shared" si="81"/>
        <v>#REF!</v>
      </c>
      <c r="B541" s="559" t="e">
        <f t="shared" si="81"/>
        <v>#REF!</v>
      </c>
      <c r="C541" s="548" t="str">
        <f t="shared" si="81"/>
        <v>Hồ sơ</v>
      </c>
      <c r="D541" s="548">
        <f t="shared" si="81"/>
        <v>0</v>
      </c>
      <c r="E541" s="550" t="e">
        <f t="shared" si="81"/>
        <v>#REF!</v>
      </c>
      <c r="F541" s="550">
        <f t="shared" si="81"/>
        <v>0</v>
      </c>
      <c r="G541" s="550">
        <f>G$494*NCong!$G490</f>
        <v>3117.6604143589748</v>
      </c>
      <c r="H541" s="550" t="e">
        <f>VLieu!$J$158+VLieu!$I$158</f>
        <v>#REF!</v>
      </c>
      <c r="I541" s="550" t="e">
        <f t="shared" si="83"/>
        <v>#REF!</v>
      </c>
      <c r="J541" s="550" t="e">
        <f t="shared" si="83"/>
        <v>#REF!</v>
      </c>
      <c r="K541" s="550" t="e">
        <f t="shared" si="84"/>
        <v>#REF!</v>
      </c>
      <c r="L541" s="550" t="e">
        <f t="shared" si="85"/>
        <v>#REF!</v>
      </c>
      <c r="M541" s="550" t="e">
        <f t="shared" si="86"/>
        <v>#REF!</v>
      </c>
      <c r="N541" s="551" t="e">
        <f t="shared" si="82"/>
        <v>#REF!</v>
      </c>
    </row>
    <row r="542" spans="1:14" ht="30" customHeight="1">
      <c r="A542" s="546" t="e">
        <f t="shared" si="81"/>
        <v>#REF!</v>
      </c>
      <c r="B542" s="559" t="e">
        <f t="shared" si="81"/>
        <v>#REF!</v>
      </c>
      <c r="C542" s="548" t="str">
        <f t="shared" si="81"/>
        <v>Hồ sơ</v>
      </c>
      <c r="D542" s="548">
        <f t="shared" si="81"/>
        <v>0</v>
      </c>
      <c r="E542" s="550" t="e">
        <f t="shared" si="81"/>
        <v>#REF!</v>
      </c>
      <c r="F542" s="550">
        <f t="shared" si="81"/>
        <v>0</v>
      </c>
      <c r="G542" s="550">
        <f>G$494*NCong!$G491</f>
        <v>3117.6604143589748</v>
      </c>
      <c r="H542" s="550" t="e">
        <f>VLieu!$J$158+VLieu!$I$158</f>
        <v>#REF!</v>
      </c>
      <c r="I542" s="550" t="e">
        <f t="shared" si="83"/>
        <v>#REF!</v>
      </c>
      <c r="J542" s="550" t="e">
        <f t="shared" si="83"/>
        <v>#REF!</v>
      </c>
      <c r="K542" s="550" t="e">
        <f t="shared" si="84"/>
        <v>#REF!</v>
      </c>
      <c r="L542" s="550" t="e">
        <f t="shared" si="85"/>
        <v>#REF!</v>
      </c>
      <c r="M542" s="550" t="e">
        <f t="shared" si="86"/>
        <v>#REF!</v>
      </c>
      <c r="N542" s="551" t="e">
        <f t="shared" si="82"/>
        <v>#REF!</v>
      </c>
    </row>
    <row r="543" spans="1:14" ht="39.950000000000003" customHeight="1">
      <c r="A543" s="546" t="e">
        <f t="shared" si="81"/>
        <v>#REF!</v>
      </c>
      <c r="B543" s="559" t="e">
        <f t="shared" si="81"/>
        <v>#REF!</v>
      </c>
      <c r="C543" s="548" t="str">
        <f t="shared" si="81"/>
        <v>Hồ sơ</v>
      </c>
      <c r="D543" s="548">
        <f t="shared" si="81"/>
        <v>0</v>
      </c>
      <c r="E543" s="550" t="e">
        <f t="shared" si="81"/>
        <v>#REF!</v>
      </c>
      <c r="F543" s="550">
        <f t="shared" si="81"/>
        <v>0</v>
      </c>
      <c r="G543" s="550">
        <f>G$494*NCong!$G492</f>
        <v>15588.302071794873</v>
      </c>
      <c r="H543" s="550" t="e">
        <f>VLieu!$J$158+VLieu!$I$158</f>
        <v>#REF!</v>
      </c>
      <c r="I543" s="550" t="e">
        <f t="shared" si="83"/>
        <v>#REF!</v>
      </c>
      <c r="J543" s="550" t="e">
        <f t="shared" si="83"/>
        <v>#REF!</v>
      </c>
      <c r="K543" s="550" t="e">
        <f t="shared" si="84"/>
        <v>#REF!</v>
      </c>
      <c r="L543" s="550" t="e">
        <f t="shared" si="85"/>
        <v>#REF!</v>
      </c>
      <c r="M543" s="550" t="e">
        <f t="shared" si="86"/>
        <v>#REF!</v>
      </c>
      <c r="N543" s="551" t="e">
        <f t="shared" si="82"/>
        <v>#REF!</v>
      </c>
    </row>
    <row r="544" spans="1:14" ht="39.950000000000003" customHeight="1">
      <c r="A544" s="546" t="e">
        <f t="shared" si="81"/>
        <v>#REF!</v>
      </c>
      <c r="B544" s="559" t="e">
        <f t="shared" si="81"/>
        <v>#REF!</v>
      </c>
      <c r="C544" s="548" t="str">
        <f t="shared" si="81"/>
        <v>Hồ sơ</v>
      </c>
      <c r="D544" s="548">
        <f t="shared" si="81"/>
        <v>0</v>
      </c>
      <c r="E544" s="550" t="e">
        <f t="shared" si="81"/>
        <v>#REF!</v>
      </c>
      <c r="F544" s="550">
        <f t="shared" si="81"/>
        <v>0</v>
      </c>
      <c r="G544" s="550">
        <f>G$494*NCong!$G493</f>
        <v>15588.302071794873</v>
      </c>
      <c r="H544" s="550" t="e">
        <f>VLieu!$J$158+VLieu!$I$158</f>
        <v>#REF!</v>
      </c>
      <c r="I544" s="550" t="e">
        <f t="shared" si="83"/>
        <v>#REF!</v>
      </c>
      <c r="J544" s="550" t="e">
        <f t="shared" si="83"/>
        <v>#REF!</v>
      </c>
      <c r="K544" s="550" t="e">
        <f t="shared" si="84"/>
        <v>#REF!</v>
      </c>
      <c r="L544" s="550" t="e">
        <f t="shared" si="85"/>
        <v>#REF!</v>
      </c>
      <c r="M544" s="550" t="e">
        <f t="shared" si="86"/>
        <v>#REF!</v>
      </c>
      <c r="N544" s="551" t="e">
        <f t="shared" si="82"/>
        <v>#REF!</v>
      </c>
    </row>
    <row r="545" spans="1:14" ht="39.950000000000003" customHeight="1">
      <c r="A545" s="546" t="e">
        <f t="shared" si="81"/>
        <v>#REF!</v>
      </c>
      <c r="B545" s="559" t="e">
        <f t="shared" si="81"/>
        <v>#REF!</v>
      </c>
      <c r="C545" s="548" t="str">
        <f t="shared" si="81"/>
        <v>Hồ sơ</v>
      </c>
      <c r="D545" s="548">
        <f t="shared" si="81"/>
        <v>0</v>
      </c>
      <c r="E545" s="550" t="e">
        <f t="shared" si="81"/>
        <v>#REF!</v>
      </c>
      <c r="F545" s="550">
        <f t="shared" si="81"/>
        <v>0</v>
      </c>
      <c r="G545" s="550">
        <f>G$494*NCong!$G494</f>
        <v>46.76490621538462</v>
      </c>
      <c r="H545" s="550" t="e">
        <f>VLieu!$J$158+VLieu!$I$158</f>
        <v>#REF!</v>
      </c>
      <c r="I545" s="550" t="e">
        <f t="shared" si="83"/>
        <v>#REF!</v>
      </c>
      <c r="J545" s="550" t="e">
        <f t="shared" si="83"/>
        <v>#REF!</v>
      </c>
      <c r="K545" s="550" t="e">
        <f t="shared" si="84"/>
        <v>#REF!</v>
      </c>
      <c r="L545" s="550" t="e">
        <f t="shared" si="85"/>
        <v>#REF!</v>
      </c>
      <c r="M545" s="550" t="e">
        <f t="shared" si="86"/>
        <v>#REF!</v>
      </c>
      <c r="N545" s="551" t="e">
        <f t="shared" si="82"/>
        <v>#REF!</v>
      </c>
    </row>
    <row r="546" spans="1:14" ht="39.950000000000003" customHeight="1">
      <c r="A546" s="546" t="e">
        <f t="shared" ref="A546:F561" si="87">A511</f>
        <v>#REF!</v>
      </c>
      <c r="B546" s="559" t="e">
        <f t="shared" si="87"/>
        <v>#REF!</v>
      </c>
      <c r="C546" s="548" t="str">
        <f t="shared" si="87"/>
        <v>Hồ sơ</v>
      </c>
      <c r="D546" s="548">
        <f t="shared" si="87"/>
        <v>0</v>
      </c>
      <c r="E546" s="550" t="e">
        <f t="shared" si="87"/>
        <v>#REF!</v>
      </c>
      <c r="F546" s="550">
        <f t="shared" si="87"/>
        <v>0</v>
      </c>
      <c r="G546" s="550">
        <f>G$494*NCong!$G500</f>
        <v>623.53208287179496</v>
      </c>
      <c r="H546" s="550" t="e">
        <f>VLieu!$J$158+VLieu!$I$158</f>
        <v>#REF!</v>
      </c>
      <c r="I546" s="550" t="e">
        <f t="shared" si="83"/>
        <v>#REF!</v>
      </c>
      <c r="J546" s="550" t="e">
        <f t="shared" si="83"/>
        <v>#REF!</v>
      </c>
      <c r="K546" s="550" t="e">
        <f t="shared" si="84"/>
        <v>#REF!</v>
      </c>
      <c r="L546" s="550" t="e">
        <f t="shared" si="85"/>
        <v>#REF!</v>
      </c>
      <c r="M546" s="550" t="e">
        <f t="shared" si="86"/>
        <v>#REF!</v>
      </c>
      <c r="N546" s="551" t="e">
        <f t="shared" si="82"/>
        <v>#REF!</v>
      </c>
    </row>
    <row r="547" spans="1:14" ht="39.950000000000003" customHeight="1">
      <c r="A547" s="546" t="e">
        <f t="shared" si="87"/>
        <v>#REF!</v>
      </c>
      <c r="B547" s="559" t="e">
        <f t="shared" si="87"/>
        <v>#REF!</v>
      </c>
      <c r="C547" s="548" t="str">
        <f t="shared" si="87"/>
        <v>Hồ sơ</v>
      </c>
      <c r="D547" s="548">
        <f t="shared" si="87"/>
        <v>0</v>
      </c>
      <c r="E547" s="550" t="e">
        <f t="shared" si="87"/>
        <v>#REF!</v>
      </c>
      <c r="F547" s="550">
        <f t="shared" si="87"/>
        <v>0</v>
      </c>
      <c r="G547" s="550">
        <f>G$494*NCong!$G501</f>
        <v>0</v>
      </c>
      <c r="H547" s="550" t="e">
        <f>VLieu!$J$158+VLieu!$I$158</f>
        <v>#REF!</v>
      </c>
      <c r="I547" s="550" t="e">
        <f t="shared" si="83"/>
        <v>#REF!</v>
      </c>
      <c r="J547" s="550" t="e">
        <f t="shared" si="83"/>
        <v>#REF!</v>
      </c>
      <c r="K547" s="550" t="e">
        <f t="shared" si="84"/>
        <v>#REF!</v>
      </c>
      <c r="L547" s="550" t="e">
        <f t="shared" si="85"/>
        <v>#REF!</v>
      </c>
      <c r="M547" s="550" t="e">
        <f t="shared" si="86"/>
        <v>#REF!</v>
      </c>
      <c r="N547" s="551" t="e">
        <f t="shared" si="82"/>
        <v>#REF!</v>
      </c>
    </row>
    <row r="548" spans="1:14" ht="39.950000000000003" customHeight="1">
      <c r="A548" s="546" t="e">
        <f t="shared" si="87"/>
        <v>#REF!</v>
      </c>
      <c r="B548" s="559" t="e">
        <f t="shared" si="87"/>
        <v>#REF!</v>
      </c>
      <c r="C548" s="548" t="str">
        <f t="shared" si="87"/>
        <v>Hồ sơ</v>
      </c>
      <c r="D548" s="548">
        <f t="shared" si="87"/>
        <v>0</v>
      </c>
      <c r="E548" s="550" t="e">
        <f t="shared" si="87"/>
        <v>#REF!</v>
      </c>
      <c r="F548" s="550">
        <f t="shared" si="87"/>
        <v>0</v>
      </c>
      <c r="G548" s="550">
        <f>G$494*NCong!$G502</f>
        <v>623.53208287179496</v>
      </c>
      <c r="H548" s="550" t="e">
        <f>VLieu!$J$158+VLieu!$I$158</f>
        <v>#REF!</v>
      </c>
      <c r="I548" s="550" t="e">
        <f t="shared" si="83"/>
        <v>#REF!</v>
      </c>
      <c r="J548" s="550" t="e">
        <f t="shared" si="83"/>
        <v>#REF!</v>
      </c>
      <c r="K548" s="550" t="e">
        <f t="shared" si="84"/>
        <v>#REF!</v>
      </c>
      <c r="L548" s="550" t="e">
        <f t="shared" si="85"/>
        <v>#REF!</v>
      </c>
      <c r="M548" s="550" t="e">
        <f t="shared" si="86"/>
        <v>#REF!</v>
      </c>
      <c r="N548" s="551" t="e">
        <f t="shared" si="82"/>
        <v>#REF!</v>
      </c>
    </row>
    <row r="549" spans="1:14" ht="39.950000000000003" customHeight="1">
      <c r="A549" s="546" t="e">
        <f t="shared" si="87"/>
        <v>#REF!</v>
      </c>
      <c r="B549" s="559" t="e">
        <f t="shared" si="87"/>
        <v>#REF!</v>
      </c>
      <c r="C549" s="548" t="str">
        <f t="shared" si="87"/>
        <v>Hồ sơ</v>
      </c>
      <c r="D549" s="548">
        <f t="shared" si="87"/>
        <v>0</v>
      </c>
      <c r="E549" s="550" t="e">
        <f t="shared" si="87"/>
        <v>#REF!</v>
      </c>
      <c r="F549" s="550">
        <f t="shared" si="87"/>
        <v>0</v>
      </c>
      <c r="G549" s="550">
        <f>G$494*NCong!$G503</f>
        <v>467.64906215384616</v>
      </c>
      <c r="H549" s="550" t="e">
        <f>VLieu!$J$158+VLieu!$I$158</f>
        <v>#REF!</v>
      </c>
      <c r="I549" s="550" t="e">
        <f t="shared" si="83"/>
        <v>#REF!</v>
      </c>
      <c r="J549" s="550" t="e">
        <f t="shared" si="83"/>
        <v>#REF!</v>
      </c>
      <c r="K549" s="550" t="e">
        <f t="shared" si="84"/>
        <v>#REF!</v>
      </c>
      <c r="L549" s="550" t="e">
        <f t="shared" si="85"/>
        <v>#REF!</v>
      </c>
      <c r="M549" s="550" t="e">
        <f t="shared" si="86"/>
        <v>#REF!</v>
      </c>
      <c r="N549" s="551" t="e">
        <f t="shared" si="82"/>
        <v>#REF!</v>
      </c>
    </row>
    <row r="550" spans="1:14" ht="50.1" customHeight="1">
      <c r="A550" s="546" t="e">
        <f t="shared" si="87"/>
        <v>#REF!</v>
      </c>
      <c r="B550" s="559" t="e">
        <f t="shared" si="87"/>
        <v>#REF!</v>
      </c>
      <c r="C550" s="548" t="str">
        <f t="shared" si="87"/>
        <v>Hồ sơ</v>
      </c>
      <c r="D550" s="548">
        <f t="shared" si="87"/>
        <v>0</v>
      </c>
      <c r="E550" s="550" t="e">
        <f t="shared" si="87"/>
        <v>#REF!</v>
      </c>
      <c r="F550" s="550">
        <f t="shared" si="87"/>
        <v>0</v>
      </c>
      <c r="G550" s="550">
        <f>G$494*NCong!$G504</f>
        <v>514.41396836923082</v>
      </c>
      <c r="H550" s="550" t="e">
        <f>VLieu!$J$158+VLieu!$I$158</f>
        <v>#REF!</v>
      </c>
      <c r="I550" s="550" t="e">
        <f t="shared" si="83"/>
        <v>#REF!</v>
      </c>
      <c r="J550" s="550" t="e">
        <f t="shared" si="83"/>
        <v>#REF!</v>
      </c>
      <c r="K550" s="550" t="e">
        <f t="shared" si="84"/>
        <v>#REF!</v>
      </c>
      <c r="L550" s="550" t="e">
        <f t="shared" si="85"/>
        <v>#REF!</v>
      </c>
      <c r="M550" s="550" t="e">
        <f t="shared" si="86"/>
        <v>#REF!</v>
      </c>
      <c r="N550" s="551" t="e">
        <f t="shared" si="82"/>
        <v>#REF!</v>
      </c>
    </row>
    <row r="551" spans="1:14" ht="50.1" customHeight="1">
      <c r="A551" s="546" t="e">
        <f t="shared" si="87"/>
        <v>#REF!</v>
      </c>
      <c r="B551" s="559" t="e">
        <f t="shared" si="87"/>
        <v>#REF!</v>
      </c>
      <c r="C551" s="548" t="str">
        <f t="shared" si="87"/>
        <v>Hồ sơ</v>
      </c>
      <c r="D551" s="548">
        <f t="shared" si="87"/>
        <v>0</v>
      </c>
      <c r="E551" s="550" t="e">
        <f t="shared" si="87"/>
        <v>#REF!</v>
      </c>
      <c r="F551" s="550">
        <f t="shared" si="87"/>
        <v>0</v>
      </c>
      <c r="G551" s="550" t="e">
        <f>G$494*NCong!#REF!</f>
        <v>#REF!</v>
      </c>
      <c r="H551" s="550" t="e">
        <f>VLieu!$J$158+VLieu!$I$158</f>
        <v>#REF!</v>
      </c>
      <c r="I551" s="550" t="e">
        <f t="shared" si="83"/>
        <v>#REF!</v>
      </c>
      <c r="J551" s="550" t="e">
        <f t="shared" si="83"/>
        <v>#REF!</v>
      </c>
      <c r="K551" s="550" t="e">
        <f t="shared" si="84"/>
        <v>#REF!</v>
      </c>
      <c r="L551" s="550" t="e">
        <f t="shared" si="85"/>
        <v>#REF!</v>
      </c>
      <c r="M551" s="550" t="e">
        <f t="shared" si="86"/>
        <v>#REF!</v>
      </c>
      <c r="N551" s="551" t="e">
        <f t="shared" ref="N551:N563" si="88">N516</f>
        <v>#REF!</v>
      </c>
    </row>
    <row r="552" spans="1:14" ht="39.950000000000003" customHeight="1">
      <c r="A552" s="546" t="e">
        <f t="shared" si="87"/>
        <v>#REF!</v>
      </c>
      <c r="B552" s="559" t="e">
        <f t="shared" si="87"/>
        <v>#REF!</v>
      </c>
      <c r="C552" s="548" t="str">
        <f t="shared" si="87"/>
        <v>Hồ sơ</v>
      </c>
      <c r="D552" s="548">
        <f t="shared" si="87"/>
        <v>0</v>
      </c>
      <c r="E552" s="550" t="e">
        <f t="shared" si="87"/>
        <v>#REF!</v>
      </c>
      <c r="F552" s="550">
        <f t="shared" si="87"/>
        <v>0</v>
      </c>
      <c r="G552" s="550">
        <f>G$494*NCong!$G506</f>
        <v>1558.8302071794874</v>
      </c>
      <c r="H552" s="550" t="e">
        <f>VLieu!$J$158+VLieu!$I$158</f>
        <v>#REF!</v>
      </c>
      <c r="I552" s="550" t="e">
        <f t="shared" si="83"/>
        <v>#REF!</v>
      </c>
      <c r="J552" s="550" t="e">
        <f t="shared" si="83"/>
        <v>#REF!</v>
      </c>
      <c r="K552" s="550" t="e">
        <f t="shared" si="84"/>
        <v>#REF!</v>
      </c>
      <c r="L552" s="550" t="e">
        <f t="shared" si="85"/>
        <v>#REF!</v>
      </c>
      <c r="M552" s="550" t="e">
        <f t="shared" si="86"/>
        <v>#REF!</v>
      </c>
      <c r="N552" s="551" t="e">
        <f t="shared" si="88"/>
        <v>#REF!</v>
      </c>
    </row>
    <row r="553" spans="1:14" ht="39.950000000000003" customHeight="1">
      <c r="A553" s="546" t="e">
        <f t="shared" si="87"/>
        <v>#REF!</v>
      </c>
      <c r="B553" s="559" t="e">
        <f t="shared" si="87"/>
        <v>#REF!</v>
      </c>
      <c r="C553" s="548" t="str">
        <f t="shared" si="87"/>
        <v>Hồ sơ</v>
      </c>
      <c r="D553" s="548">
        <f t="shared" si="87"/>
        <v>0</v>
      </c>
      <c r="E553" s="550" t="e">
        <f t="shared" si="87"/>
        <v>#REF!</v>
      </c>
      <c r="F553" s="550">
        <f t="shared" si="87"/>
        <v>0</v>
      </c>
      <c r="G553" s="550">
        <f>G$494*NCong!$G507</f>
        <v>2338.2453107692309</v>
      </c>
      <c r="H553" s="550" t="e">
        <f>VLieu!$J$158+VLieu!$I$158</f>
        <v>#REF!</v>
      </c>
      <c r="I553" s="550" t="e">
        <f t="shared" si="83"/>
        <v>#REF!</v>
      </c>
      <c r="J553" s="550" t="e">
        <f t="shared" si="83"/>
        <v>#REF!</v>
      </c>
      <c r="K553" s="550" t="e">
        <f t="shared" si="84"/>
        <v>#REF!</v>
      </c>
      <c r="L553" s="550" t="e">
        <f t="shared" si="85"/>
        <v>#REF!</v>
      </c>
      <c r="M553" s="550" t="e">
        <f t="shared" si="86"/>
        <v>#REF!</v>
      </c>
      <c r="N553" s="551" t="e">
        <f t="shared" si="88"/>
        <v>#REF!</v>
      </c>
    </row>
    <row r="554" spans="1:14" ht="69.95" customHeight="1">
      <c r="A554" s="546" t="e">
        <f t="shared" si="87"/>
        <v>#REF!</v>
      </c>
      <c r="B554" s="559" t="e">
        <f t="shared" si="87"/>
        <v>#REF!</v>
      </c>
      <c r="C554" s="548" t="str">
        <f t="shared" si="87"/>
        <v>Hồ sơ</v>
      </c>
      <c r="D554" s="548">
        <f t="shared" si="87"/>
        <v>0</v>
      </c>
      <c r="E554" s="550" t="e">
        <f t="shared" si="87"/>
        <v>#REF!</v>
      </c>
      <c r="F554" s="550">
        <f t="shared" si="87"/>
        <v>0</v>
      </c>
      <c r="G554" s="550">
        <f>G$494*NCong!$G508</f>
        <v>1558.8302071794874</v>
      </c>
      <c r="H554" s="550" t="e">
        <f>VLieu!$J$158+VLieu!$I$158</f>
        <v>#REF!</v>
      </c>
      <c r="I554" s="550" t="e">
        <f t="shared" si="83"/>
        <v>#REF!</v>
      </c>
      <c r="J554" s="550" t="e">
        <f t="shared" si="83"/>
        <v>#REF!</v>
      </c>
      <c r="K554" s="550" t="e">
        <f t="shared" si="84"/>
        <v>#REF!</v>
      </c>
      <c r="L554" s="550" t="e">
        <f t="shared" si="85"/>
        <v>#REF!</v>
      </c>
      <c r="M554" s="550" t="e">
        <f t="shared" si="86"/>
        <v>#REF!</v>
      </c>
      <c r="N554" s="551" t="e">
        <f t="shared" si="88"/>
        <v>#REF!</v>
      </c>
    </row>
    <row r="555" spans="1:14" ht="39.950000000000003" customHeight="1">
      <c r="A555" s="546" t="e">
        <f t="shared" si="87"/>
        <v>#REF!</v>
      </c>
      <c r="B555" s="559" t="e">
        <f t="shared" si="87"/>
        <v>#REF!</v>
      </c>
      <c r="C555" s="548" t="str">
        <f t="shared" si="87"/>
        <v>Hồ sơ</v>
      </c>
      <c r="D555" s="548">
        <f t="shared" si="87"/>
        <v>0</v>
      </c>
      <c r="E555" s="550" t="e">
        <f t="shared" si="87"/>
        <v>#REF!</v>
      </c>
      <c r="F555" s="550">
        <f t="shared" si="87"/>
        <v>0</v>
      </c>
      <c r="G555" s="550">
        <f>G$494*NCong!$G509</f>
        <v>1558.8302071794874</v>
      </c>
      <c r="H555" s="550" t="e">
        <f>VLieu!$J$158+VLieu!$I$158</f>
        <v>#REF!</v>
      </c>
      <c r="I555" s="550" t="e">
        <f t="shared" si="83"/>
        <v>#REF!</v>
      </c>
      <c r="J555" s="550" t="e">
        <f t="shared" si="83"/>
        <v>#REF!</v>
      </c>
      <c r="K555" s="550" t="e">
        <f t="shared" si="84"/>
        <v>#REF!</v>
      </c>
      <c r="L555" s="550" t="e">
        <f t="shared" si="85"/>
        <v>#REF!</v>
      </c>
      <c r="M555" s="550" t="e">
        <f t="shared" si="86"/>
        <v>#REF!</v>
      </c>
      <c r="N555" s="551" t="e">
        <f t="shared" si="88"/>
        <v>#REF!</v>
      </c>
    </row>
    <row r="556" spans="1:14" ht="30" customHeight="1">
      <c r="A556" s="546" t="e">
        <f t="shared" si="87"/>
        <v>#REF!</v>
      </c>
      <c r="B556" s="559" t="e">
        <f t="shared" si="87"/>
        <v>#REF!</v>
      </c>
      <c r="C556" s="548" t="str">
        <f t="shared" si="87"/>
        <v>Hồ sơ</v>
      </c>
      <c r="D556" s="548">
        <f t="shared" si="87"/>
        <v>0</v>
      </c>
      <c r="E556" s="550" t="e">
        <f t="shared" si="87"/>
        <v>#REF!</v>
      </c>
      <c r="F556" s="550">
        <f t="shared" si="87"/>
        <v>0</v>
      </c>
      <c r="G556" s="550">
        <f>G$494*NCong!$G510</f>
        <v>5767.6717665641027</v>
      </c>
      <c r="H556" s="550" t="e">
        <f>VLieu!$J$158+VLieu!$I$158</f>
        <v>#REF!</v>
      </c>
      <c r="I556" s="550" t="e">
        <f t="shared" si="83"/>
        <v>#REF!</v>
      </c>
      <c r="J556" s="550" t="e">
        <f t="shared" si="83"/>
        <v>#REF!</v>
      </c>
      <c r="K556" s="550" t="e">
        <f t="shared" si="84"/>
        <v>#REF!</v>
      </c>
      <c r="L556" s="550" t="e">
        <f t="shared" si="85"/>
        <v>#REF!</v>
      </c>
      <c r="M556" s="550" t="e">
        <f t="shared" si="86"/>
        <v>#REF!</v>
      </c>
      <c r="N556" s="551" t="e">
        <f t="shared" si="88"/>
        <v>#REF!</v>
      </c>
    </row>
    <row r="557" spans="1:14" ht="39.950000000000003" customHeight="1">
      <c r="A557" s="546" t="e">
        <f t="shared" si="87"/>
        <v>#REF!</v>
      </c>
      <c r="B557" s="559" t="e">
        <f t="shared" si="87"/>
        <v>#REF!</v>
      </c>
      <c r="C557" s="548" t="str">
        <f t="shared" si="87"/>
        <v>Hồ sơ</v>
      </c>
      <c r="D557" s="548">
        <f t="shared" si="87"/>
        <v>0</v>
      </c>
      <c r="E557" s="550" t="e">
        <f t="shared" si="87"/>
        <v>#REF!</v>
      </c>
      <c r="F557" s="550">
        <f t="shared" si="87"/>
        <v>0</v>
      </c>
      <c r="G557" s="550">
        <f>G$494*NCong!$G511</f>
        <v>514.41396836923082</v>
      </c>
      <c r="H557" s="550" t="e">
        <f>VLieu!$J$158+VLieu!$I$158</f>
        <v>#REF!</v>
      </c>
      <c r="I557" s="550" t="e">
        <f t="shared" si="83"/>
        <v>#REF!</v>
      </c>
      <c r="J557" s="550" t="e">
        <f t="shared" si="83"/>
        <v>#REF!</v>
      </c>
      <c r="K557" s="550" t="e">
        <f t="shared" si="84"/>
        <v>#REF!</v>
      </c>
      <c r="L557" s="550" t="e">
        <f t="shared" si="85"/>
        <v>#REF!</v>
      </c>
      <c r="M557" s="550" t="e">
        <f t="shared" si="86"/>
        <v>#REF!</v>
      </c>
      <c r="N557" s="551" t="e">
        <f t="shared" si="88"/>
        <v>#REF!</v>
      </c>
    </row>
    <row r="558" spans="1:14" ht="99.95" customHeight="1">
      <c r="A558" s="546" t="e">
        <f t="shared" si="87"/>
        <v>#REF!</v>
      </c>
      <c r="B558" s="559" t="e">
        <f t="shared" si="87"/>
        <v>#REF!</v>
      </c>
      <c r="C558" s="548" t="str">
        <f t="shared" si="87"/>
        <v>Hồ sơ</v>
      </c>
      <c r="D558" s="548">
        <f t="shared" si="87"/>
        <v>0</v>
      </c>
      <c r="E558" s="550" t="e">
        <f t="shared" si="87"/>
        <v>#REF!</v>
      </c>
      <c r="F558" s="550">
        <f t="shared" si="87"/>
        <v>0</v>
      </c>
      <c r="G558" s="550">
        <f>G$494*NCong!$G512</f>
        <v>0</v>
      </c>
      <c r="H558" s="550" t="e">
        <f>VLieu!$J$158+VLieu!$I$158</f>
        <v>#REF!</v>
      </c>
      <c r="I558" s="550" t="e">
        <f t="shared" si="83"/>
        <v>#REF!</v>
      </c>
      <c r="J558" s="550" t="e">
        <f t="shared" si="83"/>
        <v>#REF!</v>
      </c>
      <c r="K558" s="550" t="e">
        <f t="shared" si="84"/>
        <v>#REF!</v>
      </c>
      <c r="L558" s="550" t="e">
        <f t="shared" si="85"/>
        <v>#REF!</v>
      </c>
      <c r="M558" s="550" t="e">
        <f t="shared" si="86"/>
        <v>#REF!</v>
      </c>
      <c r="N558" s="551" t="e">
        <f t="shared" si="88"/>
        <v>#REF!</v>
      </c>
    </row>
    <row r="559" spans="1:14" ht="39.950000000000003" customHeight="1">
      <c r="A559" s="546" t="e">
        <f t="shared" si="87"/>
        <v>#REF!</v>
      </c>
      <c r="B559" s="559" t="e">
        <f t="shared" si="87"/>
        <v>#REF!</v>
      </c>
      <c r="C559" s="548" t="str">
        <f t="shared" si="87"/>
        <v>Hồ sơ</v>
      </c>
      <c r="D559" s="548">
        <f t="shared" si="87"/>
        <v>0</v>
      </c>
      <c r="E559" s="550" t="e">
        <f t="shared" si="87"/>
        <v>#REF!</v>
      </c>
      <c r="F559" s="550">
        <f t="shared" si="87"/>
        <v>0</v>
      </c>
      <c r="G559" s="550">
        <f>G$494*NCong!$G513</f>
        <v>249.41283314871797</v>
      </c>
      <c r="H559" s="550" t="e">
        <f>VLieu!$J$158+VLieu!$I$158</f>
        <v>#REF!</v>
      </c>
      <c r="I559" s="550" t="e">
        <f t="shared" si="83"/>
        <v>#REF!</v>
      </c>
      <c r="J559" s="550" t="e">
        <f t="shared" si="83"/>
        <v>#REF!</v>
      </c>
      <c r="K559" s="550" t="e">
        <f t="shared" si="84"/>
        <v>#REF!</v>
      </c>
      <c r="L559" s="550" t="e">
        <f t="shared" si="85"/>
        <v>#REF!</v>
      </c>
      <c r="M559" s="550" t="e">
        <f t="shared" si="86"/>
        <v>#REF!</v>
      </c>
      <c r="N559" s="551" t="e">
        <f t="shared" si="88"/>
        <v>#REF!</v>
      </c>
    </row>
    <row r="560" spans="1:14" ht="39.950000000000003" customHeight="1">
      <c r="A560" s="546" t="e">
        <f t="shared" si="87"/>
        <v>#REF!</v>
      </c>
      <c r="B560" s="559" t="e">
        <f t="shared" si="87"/>
        <v>#REF!</v>
      </c>
      <c r="C560" s="548" t="str">
        <f t="shared" si="87"/>
        <v>Hồ sơ</v>
      </c>
      <c r="D560" s="548">
        <f t="shared" si="87"/>
        <v>0</v>
      </c>
      <c r="E560" s="550" t="e">
        <f t="shared" si="87"/>
        <v>#REF!</v>
      </c>
      <c r="F560" s="550">
        <f t="shared" si="87"/>
        <v>0</v>
      </c>
      <c r="G560" s="550" t="e">
        <f>G$494*NCong!#REF!</f>
        <v>#REF!</v>
      </c>
      <c r="H560" s="550" t="e">
        <f>VLieu!$J$158+VLieu!$I$158</f>
        <v>#REF!</v>
      </c>
      <c r="I560" s="550" t="e">
        <f t="shared" si="83"/>
        <v>#REF!</v>
      </c>
      <c r="J560" s="550" t="e">
        <f t="shared" si="83"/>
        <v>#REF!</v>
      </c>
      <c r="K560" s="550" t="e">
        <f t="shared" si="84"/>
        <v>#REF!</v>
      </c>
      <c r="L560" s="550" t="e">
        <f t="shared" si="85"/>
        <v>#REF!</v>
      </c>
      <c r="M560" s="550" t="e">
        <f t="shared" si="86"/>
        <v>#REF!</v>
      </c>
      <c r="N560" s="551" t="e">
        <f t="shared" si="88"/>
        <v>#REF!</v>
      </c>
    </row>
    <row r="561" spans="1:14" ht="39.950000000000003" customHeight="1">
      <c r="A561" s="546" t="e">
        <f t="shared" si="87"/>
        <v>#REF!</v>
      </c>
      <c r="B561" s="559" t="e">
        <f t="shared" si="87"/>
        <v>#REF!</v>
      </c>
      <c r="C561" s="548" t="str">
        <f t="shared" si="87"/>
        <v>Hồ sơ</v>
      </c>
      <c r="D561" s="548">
        <f t="shared" si="87"/>
        <v>0</v>
      </c>
      <c r="E561" s="550" t="e">
        <f t="shared" si="87"/>
        <v>#REF!</v>
      </c>
      <c r="F561" s="550">
        <f t="shared" si="87"/>
        <v>0</v>
      </c>
      <c r="G561" s="550" t="e">
        <f>G$494*NCong!#REF!</f>
        <v>#REF!</v>
      </c>
      <c r="H561" s="550" t="e">
        <f>VLieu!$J$158+VLieu!$I$158</f>
        <v>#REF!</v>
      </c>
      <c r="I561" s="550" t="e">
        <f t="shared" si="83"/>
        <v>#REF!</v>
      </c>
      <c r="J561" s="550" t="e">
        <f t="shared" si="83"/>
        <v>#REF!</v>
      </c>
      <c r="K561" s="550" t="e">
        <f t="shared" si="84"/>
        <v>#REF!</v>
      </c>
      <c r="L561" s="550" t="e">
        <f t="shared" si="85"/>
        <v>#REF!</v>
      </c>
      <c r="M561" s="550" t="e">
        <f t="shared" si="86"/>
        <v>#REF!</v>
      </c>
      <c r="N561" s="551" t="e">
        <f t="shared" si="88"/>
        <v>#REF!</v>
      </c>
    </row>
    <row r="562" spans="1:14" ht="30" customHeight="1">
      <c r="A562" s="546" t="e">
        <f t="shared" ref="A562:F563" si="89">A527</f>
        <v>#REF!</v>
      </c>
      <c r="B562" s="559" t="e">
        <f t="shared" si="89"/>
        <v>#REF!</v>
      </c>
      <c r="C562" s="548" t="str">
        <f t="shared" si="89"/>
        <v>Hồ sơ</v>
      </c>
      <c r="D562" s="548">
        <f t="shared" si="89"/>
        <v>0</v>
      </c>
      <c r="E562" s="550" t="e">
        <f t="shared" si="89"/>
        <v>#REF!</v>
      </c>
      <c r="F562" s="550">
        <f t="shared" si="89"/>
        <v>0</v>
      </c>
      <c r="G562" s="550">
        <f>G$494*NCong!$G518</f>
        <v>0</v>
      </c>
      <c r="H562" s="550" t="e">
        <f>VLieu!$J$158+VLieu!$I$158</f>
        <v>#REF!</v>
      </c>
      <c r="I562" s="550" t="e">
        <f t="shared" si="83"/>
        <v>#REF!</v>
      </c>
      <c r="J562" s="550" t="e">
        <f t="shared" si="83"/>
        <v>#REF!</v>
      </c>
      <c r="K562" s="550" t="e">
        <f t="shared" si="84"/>
        <v>#REF!</v>
      </c>
      <c r="L562" s="550" t="e">
        <f t="shared" si="85"/>
        <v>#REF!</v>
      </c>
      <c r="M562" s="550" t="e">
        <f t="shared" si="86"/>
        <v>#REF!</v>
      </c>
      <c r="N562" s="551" t="e">
        <f t="shared" si="88"/>
        <v>#REF!</v>
      </c>
    </row>
    <row r="563" spans="1:14" ht="30" customHeight="1">
      <c r="A563" s="546" t="e">
        <f t="shared" si="89"/>
        <v>#REF!</v>
      </c>
      <c r="B563" s="559" t="e">
        <f t="shared" si="89"/>
        <v>#REF!</v>
      </c>
      <c r="C563" s="548" t="str">
        <f t="shared" si="89"/>
        <v>Hồ sơ</v>
      </c>
      <c r="D563" s="548">
        <f t="shared" si="89"/>
        <v>0</v>
      </c>
      <c r="E563" s="550" t="e">
        <f t="shared" si="89"/>
        <v>#REF!</v>
      </c>
      <c r="F563" s="550">
        <f t="shared" si="89"/>
        <v>0</v>
      </c>
      <c r="G563" s="550">
        <f>G$494*NCong!$G521</f>
        <v>1558.8302071794874</v>
      </c>
      <c r="H563" s="550" t="e">
        <f>VLieu!$J$158+VLieu!$I$158</f>
        <v>#REF!</v>
      </c>
      <c r="I563" s="550" t="e">
        <f t="shared" si="83"/>
        <v>#REF!</v>
      </c>
      <c r="J563" s="550" t="e">
        <f t="shared" si="83"/>
        <v>#REF!</v>
      </c>
      <c r="K563" s="550" t="e">
        <f t="shared" si="84"/>
        <v>#REF!</v>
      </c>
      <c r="L563" s="550" t="e">
        <f t="shared" si="85"/>
        <v>#REF!</v>
      </c>
      <c r="M563" s="550" t="e">
        <f t="shared" si="86"/>
        <v>#REF!</v>
      </c>
      <c r="N563" s="551" t="e">
        <f t="shared" si="88"/>
        <v>#REF!</v>
      </c>
    </row>
    <row r="564" spans="1:14" ht="24.75" hidden="1" customHeight="1">
      <c r="A564" s="535"/>
      <c r="B564" s="1837" t="s">
        <v>517</v>
      </c>
      <c r="C564" s="1837"/>
      <c r="D564" s="1837"/>
      <c r="E564" s="1837"/>
      <c r="F564" s="1837"/>
      <c r="G564" s="1837"/>
      <c r="H564" s="1837"/>
      <c r="I564" s="1837"/>
      <c r="J564" s="1837"/>
      <c r="K564" s="1837"/>
      <c r="L564" s="1837"/>
      <c r="M564" s="1837"/>
      <c r="N564" s="1838"/>
    </row>
    <row r="565" spans="1:14" ht="24.75" hidden="1" customHeight="1">
      <c r="A565" s="535" t="s">
        <v>20</v>
      </c>
      <c r="B565" s="584" t="s">
        <v>430</v>
      </c>
      <c r="C565" s="585" t="s">
        <v>53</v>
      </c>
      <c r="D565" s="584"/>
      <c r="E565" s="537">
        <v>756907.95</v>
      </c>
      <c r="F565" s="537">
        <v>0</v>
      </c>
      <c r="G565" s="537">
        <v>3481.8269230769229</v>
      </c>
      <c r="H565" s="537">
        <v>20617.200000000004</v>
      </c>
      <c r="I565" s="537">
        <v>8608.5136680000014</v>
      </c>
      <c r="J565" s="537">
        <v>19219.883999999998</v>
      </c>
      <c r="K565" s="537">
        <v>808835.37459107675</v>
      </c>
      <c r="L565" s="537">
        <v>121325.3061886615</v>
      </c>
      <c r="M565" s="537">
        <v>930160.68077973824</v>
      </c>
      <c r="N565" s="538">
        <v>28251.724999999999</v>
      </c>
    </row>
    <row r="566" spans="1:14" ht="39.950000000000003" customHeight="1">
      <c r="A566" s="539" t="s">
        <v>243</v>
      </c>
      <c r="B566" s="545" t="s">
        <v>166</v>
      </c>
      <c r="C566" s="540" t="s">
        <v>53</v>
      </c>
      <c r="D566" s="541">
        <v>0</v>
      </c>
      <c r="E566" s="542">
        <v>658462.69999999995</v>
      </c>
      <c r="F566" s="542"/>
      <c r="G566" s="542">
        <v>2926.9243589743587</v>
      </c>
      <c r="H566" s="542">
        <v>18165.600000000002</v>
      </c>
      <c r="I566" s="542">
        <v>8436.5656680000011</v>
      </c>
      <c r="J566" s="542">
        <v>18226.907999999999</v>
      </c>
      <c r="K566" s="542">
        <v>706218.69802697434</v>
      </c>
      <c r="L566" s="542">
        <v>105932.80470404615</v>
      </c>
      <c r="M566" s="542">
        <v>812151.50273102045</v>
      </c>
      <c r="N566" s="543">
        <v>24889.224999999999</v>
      </c>
    </row>
    <row r="567" spans="1:14" ht="39.950000000000003" customHeight="1">
      <c r="A567" s="539" t="s">
        <v>244</v>
      </c>
      <c r="B567" s="545" t="s">
        <v>196</v>
      </c>
      <c r="C567" s="540" t="s">
        <v>53</v>
      </c>
      <c r="D567" s="541">
        <v>0</v>
      </c>
      <c r="E567" s="542">
        <v>80424</v>
      </c>
      <c r="F567" s="542"/>
      <c r="G567" s="542">
        <v>0</v>
      </c>
      <c r="H567" s="542">
        <v>0</v>
      </c>
      <c r="I567" s="542">
        <v>0</v>
      </c>
      <c r="J567" s="542">
        <v>0</v>
      </c>
      <c r="K567" s="542">
        <v>80424</v>
      </c>
      <c r="L567" s="542">
        <v>12063.6</v>
      </c>
      <c r="M567" s="542">
        <v>92487.6</v>
      </c>
      <c r="N567" s="543">
        <v>2690</v>
      </c>
    </row>
    <row r="568" spans="1:14" ht="39.950000000000003" customHeight="1">
      <c r="A568" s="539" t="s">
        <v>245</v>
      </c>
      <c r="B568" s="545" t="s">
        <v>140</v>
      </c>
      <c r="C568" s="540" t="s">
        <v>53</v>
      </c>
      <c r="D568" s="541">
        <v>0</v>
      </c>
      <c r="E568" s="542">
        <v>18021.25</v>
      </c>
      <c r="F568" s="542"/>
      <c r="G568" s="542">
        <v>554.90256410256404</v>
      </c>
      <c r="H568" s="542">
        <v>2451.6000000000004</v>
      </c>
      <c r="I568" s="542">
        <v>171.94799999999998</v>
      </c>
      <c r="J568" s="542">
        <v>992.97599999999989</v>
      </c>
      <c r="K568" s="542">
        <v>22192.676564102563</v>
      </c>
      <c r="L568" s="542">
        <v>3328.9014846153846</v>
      </c>
      <c r="M568" s="542">
        <v>25521.578048717947</v>
      </c>
      <c r="N568" s="543">
        <v>672.5</v>
      </c>
    </row>
    <row r="569" spans="1:14" ht="30" customHeight="1">
      <c r="A569" s="539" t="s">
        <v>277</v>
      </c>
      <c r="B569" s="545" t="s">
        <v>258</v>
      </c>
      <c r="C569" s="540">
        <v>0</v>
      </c>
      <c r="D569" s="540">
        <v>0</v>
      </c>
      <c r="E569" s="542"/>
      <c r="F569" s="542"/>
      <c r="G569" s="542"/>
      <c r="H569" s="542"/>
      <c r="I569" s="542"/>
      <c r="J569" s="542"/>
      <c r="K569" s="542"/>
      <c r="L569" s="542"/>
      <c r="M569" s="542"/>
      <c r="N569" s="543"/>
    </row>
    <row r="570" spans="1:14" ht="69.95" customHeight="1">
      <c r="A570" s="578"/>
      <c r="B570" s="1839" t="s">
        <v>278</v>
      </c>
      <c r="C570" s="1839">
        <v>0</v>
      </c>
      <c r="D570" s="1839">
        <v>0</v>
      </c>
      <c r="E570" s="570"/>
      <c r="F570" s="570"/>
      <c r="G570" s="570"/>
      <c r="H570" s="570"/>
      <c r="I570" s="570"/>
      <c r="J570" s="570"/>
      <c r="K570" s="570"/>
      <c r="L570" s="570"/>
      <c r="M570" s="570"/>
      <c r="N570" s="571"/>
    </row>
    <row r="571" spans="1:14" ht="50.1" customHeight="1">
      <c r="A571" s="546" t="s">
        <v>33</v>
      </c>
      <c r="B571" s="559" t="s">
        <v>279</v>
      </c>
      <c r="C571" s="548" t="s">
        <v>53</v>
      </c>
      <c r="D571" s="548"/>
      <c r="E571" s="550">
        <v>546445.65315999999</v>
      </c>
      <c r="F571" s="550"/>
      <c r="G571" s="550">
        <v>1664.313269230769</v>
      </c>
      <c r="H571" s="550">
        <v>11370.320000000002</v>
      </c>
      <c r="I571" s="550">
        <v>5165.1082008000003</v>
      </c>
      <c r="J571" s="550">
        <v>11531.930399999999</v>
      </c>
      <c r="K571" s="550">
        <v>576177.32503003068</v>
      </c>
      <c r="L571" s="550">
        <v>86426.598754504594</v>
      </c>
      <c r="M571" s="550">
        <v>662603.92378453526</v>
      </c>
      <c r="N571" s="551">
        <v>20654.398349999999</v>
      </c>
    </row>
    <row r="572" spans="1:14" ht="50.1" customHeight="1">
      <c r="A572" s="546" t="s">
        <v>34</v>
      </c>
      <c r="B572" s="559" t="s">
        <v>280</v>
      </c>
      <c r="C572" s="548" t="s">
        <v>53</v>
      </c>
      <c r="D572" s="548"/>
      <c r="E572" s="550">
        <v>544396.6507</v>
      </c>
      <c r="F572" s="550"/>
      <c r="G572" s="550">
        <v>1514.5947115384615</v>
      </c>
      <c r="H572" s="550">
        <v>11370.320000000002</v>
      </c>
      <c r="I572" s="550">
        <v>5165.1082008000003</v>
      </c>
      <c r="J572" s="550">
        <v>11531.930399999999</v>
      </c>
      <c r="K572" s="550">
        <v>573978.60401233833</v>
      </c>
      <c r="L572" s="550">
        <v>86096.790601850749</v>
      </c>
      <c r="M572" s="550">
        <v>660075.39461418905</v>
      </c>
      <c r="N572" s="551">
        <v>20585.863874999999</v>
      </c>
    </row>
    <row r="573" spans="1:14" ht="39.950000000000003" customHeight="1">
      <c r="A573" s="546" t="s">
        <v>35</v>
      </c>
      <c r="B573" s="559" t="s">
        <v>281</v>
      </c>
      <c r="C573" s="548" t="s">
        <v>53</v>
      </c>
      <c r="D573" s="548"/>
      <c r="E573" s="550">
        <v>529863.02859999996</v>
      </c>
      <c r="F573" s="550"/>
      <c r="G573" s="550">
        <v>452.63749999999999</v>
      </c>
      <c r="H573" s="550">
        <v>11370.320000000002</v>
      </c>
      <c r="I573" s="550">
        <v>5165.1082008000003</v>
      </c>
      <c r="J573" s="550">
        <v>11531.930399999999</v>
      </c>
      <c r="K573" s="550">
        <v>558383.02470079984</v>
      </c>
      <c r="L573" s="550">
        <v>83757.453705119973</v>
      </c>
      <c r="M573" s="550">
        <v>642140.47840591986</v>
      </c>
      <c r="N573" s="551">
        <v>20099.74725</v>
      </c>
    </row>
    <row r="574" spans="1:14" ht="39.950000000000003" customHeight="1">
      <c r="A574" s="546" t="s">
        <v>158</v>
      </c>
      <c r="B574" s="559" t="s">
        <v>282</v>
      </c>
      <c r="C574" s="548" t="s">
        <v>53</v>
      </c>
      <c r="D574" s="548"/>
      <c r="E574" s="550">
        <v>542299.99702000001</v>
      </c>
      <c r="F574" s="550"/>
      <c r="G574" s="550">
        <v>1361.394326923077</v>
      </c>
      <c r="H574" s="550">
        <v>11370.320000000002</v>
      </c>
      <c r="I574" s="550">
        <v>5165.1082008000003</v>
      </c>
      <c r="J574" s="550">
        <v>11531.930399999999</v>
      </c>
      <c r="K574" s="550">
        <v>571728.749947723</v>
      </c>
      <c r="L574" s="550">
        <v>85759.312492158453</v>
      </c>
      <c r="M574" s="550">
        <v>657488.0624398815</v>
      </c>
      <c r="N574" s="551">
        <v>20515.735574999999</v>
      </c>
    </row>
    <row r="575" spans="1:14" ht="50.1" customHeight="1">
      <c r="A575" s="546" t="s">
        <v>159</v>
      </c>
      <c r="B575" s="559" t="s">
        <v>283</v>
      </c>
      <c r="C575" s="548" t="s">
        <v>53</v>
      </c>
      <c r="D575" s="548"/>
      <c r="E575" s="550">
        <v>71904.576520000002</v>
      </c>
      <c r="F575" s="550"/>
      <c r="G575" s="550">
        <v>529.23769230769221</v>
      </c>
      <c r="H575" s="550">
        <v>11370.320000000002</v>
      </c>
      <c r="I575" s="550">
        <v>5165.1082008000003</v>
      </c>
      <c r="J575" s="550">
        <v>11531.930399999999</v>
      </c>
      <c r="K575" s="550">
        <v>100501.1728131077</v>
      </c>
      <c r="L575" s="550">
        <v>15075.175921966154</v>
      </c>
      <c r="M575" s="550">
        <v>115576.34873507384</v>
      </c>
      <c r="N575" s="551">
        <v>2663.0462000000002</v>
      </c>
    </row>
    <row r="576" spans="1:14" ht="39.950000000000003" customHeight="1">
      <c r="A576" s="546" t="s">
        <v>160</v>
      </c>
      <c r="B576" s="559" t="s">
        <v>284</v>
      </c>
      <c r="C576" s="548" t="s">
        <v>53</v>
      </c>
      <c r="D576" s="548"/>
      <c r="E576" s="550">
        <v>542299.99702000001</v>
      </c>
      <c r="F576" s="550"/>
      <c r="G576" s="550">
        <v>1361.394326923077</v>
      </c>
      <c r="H576" s="550">
        <v>11370.320000000002</v>
      </c>
      <c r="I576" s="550">
        <v>5165.1082008000003</v>
      </c>
      <c r="J576" s="550">
        <v>11531.930399999999</v>
      </c>
      <c r="K576" s="550">
        <v>571728.749947723</v>
      </c>
      <c r="L576" s="550">
        <v>85759.312492158453</v>
      </c>
      <c r="M576" s="550">
        <v>657488.0624398815</v>
      </c>
      <c r="N576" s="551">
        <v>20515.735574999999</v>
      </c>
    </row>
    <row r="577" spans="1:14" ht="39.950000000000003" customHeight="1">
      <c r="A577" s="546" t="s">
        <v>161</v>
      </c>
      <c r="B577" s="559" t="s">
        <v>285</v>
      </c>
      <c r="C577" s="548" t="s">
        <v>53</v>
      </c>
      <c r="D577" s="548"/>
      <c r="E577" s="550">
        <v>530911.35543999996</v>
      </c>
      <c r="F577" s="550"/>
      <c r="G577" s="550">
        <v>529.23769230769221</v>
      </c>
      <c r="H577" s="550">
        <v>11370.320000000002</v>
      </c>
      <c r="I577" s="550">
        <v>5165.1082008000003</v>
      </c>
      <c r="J577" s="550">
        <v>11531.930399999999</v>
      </c>
      <c r="K577" s="550">
        <v>559507.95173310756</v>
      </c>
      <c r="L577" s="550">
        <v>83926.192759966129</v>
      </c>
      <c r="M577" s="550">
        <v>643434.14449307369</v>
      </c>
      <c r="N577" s="551">
        <v>20134.811399999999</v>
      </c>
    </row>
    <row r="578" spans="1:14" ht="39.950000000000003" customHeight="1">
      <c r="A578" s="546" t="s">
        <v>162</v>
      </c>
      <c r="B578" s="559" t="s">
        <v>286</v>
      </c>
      <c r="C578" s="548" t="s">
        <v>53</v>
      </c>
      <c r="D578" s="548"/>
      <c r="E578" s="550">
        <v>579414.66772000003</v>
      </c>
      <c r="F578" s="550"/>
      <c r="G578" s="550">
        <v>1135.0755769230768</v>
      </c>
      <c r="H578" s="550">
        <v>11370.320000000002</v>
      </c>
      <c r="I578" s="550">
        <v>5165.1082008000003</v>
      </c>
      <c r="J578" s="550">
        <v>11531.930399999999</v>
      </c>
      <c r="K578" s="550">
        <v>608617.10189772304</v>
      </c>
      <c r="L578" s="550">
        <v>91292.565284658456</v>
      </c>
      <c r="M578" s="550">
        <v>699909.6671823815</v>
      </c>
      <c r="N578" s="551">
        <v>21757.13695</v>
      </c>
    </row>
    <row r="579" spans="1:14" ht="39.950000000000003" customHeight="1">
      <c r="A579" s="546" t="s">
        <v>165</v>
      </c>
      <c r="B579" s="559" t="s">
        <v>287</v>
      </c>
      <c r="C579" s="548" t="s">
        <v>53</v>
      </c>
      <c r="D579" s="548"/>
      <c r="E579" s="550">
        <v>579414.66772000003</v>
      </c>
      <c r="F579" s="550"/>
      <c r="G579" s="550">
        <v>1135.0755769230768</v>
      </c>
      <c r="H579" s="550">
        <v>11370.320000000002</v>
      </c>
      <c r="I579" s="550">
        <v>5165.1082008000003</v>
      </c>
      <c r="J579" s="550">
        <v>11531.930399999999</v>
      </c>
      <c r="K579" s="550">
        <v>608617.10189772304</v>
      </c>
      <c r="L579" s="550">
        <v>91292.565284658456</v>
      </c>
      <c r="M579" s="550">
        <v>699909.6671823815</v>
      </c>
      <c r="N579" s="551">
        <v>21757.13695</v>
      </c>
    </row>
    <row r="580" spans="1:14" ht="39.950000000000003" customHeight="1">
      <c r="A580" s="546" t="s">
        <v>37</v>
      </c>
      <c r="B580" s="559" t="s">
        <v>288</v>
      </c>
      <c r="C580" s="548" t="s">
        <v>53</v>
      </c>
      <c r="D580" s="548"/>
      <c r="E580" s="550">
        <v>579414.66772000003</v>
      </c>
      <c r="F580" s="550"/>
      <c r="G580" s="550">
        <v>1135.0755769230768</v>
      </c>
      <c r="H580" s="550">
        <v>11370.320000000002</v>
      </c>
      <c r="I580" s="550">
        <v>5165.1082008000003</v>
      </c>
      <c r="J580" s="550">
        <v>11531.930399999999</v>
      </c>
      <c r="K580" s="550">
        <v>608617.10189772304</v>
      </c>
      <c r="L580" s="550">
        <v>91292.565284658456</v>
      </c>
      <c r="M580" s="550">
        <v>699909.6671823815</v>
      </c>
      <c r="N580" s="551">
        <v>21757.13695</v>
      </c>
    </row>
    <row r="581" spans="1:14" ht="39.950000000000003" customHeight="1">
      <c r="A581" s="546" t="s">
        <v>38</v>
      </c>
      <c r="B581" s="559" t="s">
        <v>289</v>
      </c>
      <c r="C581" s="548" t="s">
        <v>53</v>
      </c>
      <c r="D581" s="548"/>
      <c r="E581" s="550">
        <v>579414.66772000003</v>
      </c>
      <c r="F581" s="550"/>
      <c r="G581" s="550">
        <v>1135.0755769230768</v>
      </c>
      <c r="H581" s="550">
        <v>11370.320000000002</v>
      </c>
      <c r="I581" s="550">
        <v>5165.1082008000003</v>
      </c>
      <c r="J581" s="550">
        <v>11531.930399999999</v>
      </c>
      <c r="K581" s="550">
        <v>608617.10189772304</v>
      </c>
      <c r="L581" s="550">
        <v>91292.565284658456</v>
      </c>
      <c r="M581" s="550">
        <v>699909.6671823815</v>
      </c>
      <c r="N581" s="551">
        <v>21757.13695</v>
      </c>
    </row>
    <row r="582" spans="1:14" ht="39.950000000000003" customHeight="1">
      <c r="A582" s="546" t="s">
        <v>184</v>
      </c>
      <c r="B582" s="559" t="s">
        <v>290</v>
      </c>
      <c r="C582" s="548" t="s">
        <v>53</v>
      </c>
      <c r="D582" s="548"/>
      <c r="E582" s="550">
        <v>581511.32140000002</v>
      </c>
      <c r="F582" s="550"/>
      <c r="G582" s="550">
        <v>1288.2759615384614</v>
      </c>
      <c r="H582" s="550">
        <v>11370.320000000002</v>
      </c>
      <c r="I582" s="550">
        <v>5165.1082008000003</v>
      </c>
      <c r="J582" s="550">
        <v>11531.930399999999</v>
      </c>
      <c r="K582" s="550">
        <v>610866.95596233837</v>
      </c>
      <c r="L582" s="550">
        <v>91630.043394350752</v>
      </c>
      <c r="M582" s="550">
        <v>702496.99935668916</v>
      </c>
      <c r="N582" s="551">
        <v>21827.26525</v>
      </c>
    </row>
    <row r="583" spans="1:14" ht="39.950000000000003" customHeight="1">
      <c r="A583" s="546" t="s">
        <v>185</v>
      </c>
      <c r="B583" s="559" t="s">
        <v>291</v>
      </c>
      <c r="C583" s="548" t="s">
        <v>53</v>
      </c>
      <c r="D583" s="548"/>
      <c r="E583" s="550">
        <v>197368.23131999996</v>
      </c>
      <c r="F583" s="550"/>
      <c r="G583" s="550">
        <v>1211.675769230769</v>
      </c>
      <c r="H583" s="550">
        <v>11370.320000000002</v>
      </c>
      <c r="I583" s="550">
        <v>5165.1082008000003</v>
      </c>
      <c r="J583" s="550">
        <v>11531.930399999999</v>
      </c>
      <c r="K583" s="550">
        <v>226647.26569003073</v>
      </c>
      <c r="L583" s="550">
        <v>33997.089853504607</v>
      </c>
      <c r="M583" s="550">
        <v>260644.35554353535</v>
      </c>
      <c r="N583" s="551">
        <v>7477.2584999999981</v>
      </c>
    </row>
    <row r="584" spans="1:14" ht="39.950000000000003" customHeight="1">
      <c r="A584" s="546" t="s">
        <v>187</v>
      </c>
      <c r="B584" s="559" t="s">
        <v>292</v>
      </c>
      <c r="C584" s="548" t="s">
        <v>53</v>
      </c>
      <c r="D584" s="548"/>
      <c r="E584" s="550">
        <v>581511.32140000002</v>
      </c>
      <c r="F584" s="550"/>
      <c r="G584" s="550">
        <v>1288.2759615384614</v>
      </c>
      <c r="H584" s="550">
        <v>11370.320000000002</v>
      </c>
      <c r="I584" s="550">
        <v>5165.1082008000003</v>
      </c>
      <c r="J584" s="550">
        <v>11531.930399999999</v>
      </c>
      <c r="K584" s="550">
        <v>610866.95596233837</v>
      </c>
      <c r="L584" s="550">
        <v>91630.043394350752</v>
      </c>
      <c r="M584" s="550">
        <v>702496.99935668916</v>
      </c>
      <c r="N584" s="551">
        <v>21827.26525</v>
      </c>
    </row>
    <row r="585" spans="1:14" ht="39.950000000000003" customHeight="1">
      <c r="A585" s="546" t="s">
        <v>194</v>
      </c>
      <c r="B585" s="559" t="s">
        <v>293</v>
      </c>
      <c r="C585" s="548" t="s">
        <v>53</v>
      </c>
      <c r="D585" s="548"/>
      <c r="E585" s="550">
        <v>579414.66772000003</v>
      </c>
      <c r="F585" s="550"/>
      <c r="G585" s="550">
        <v>1135.0755769230768</v>
      </c>
      <c r="H585" s="550">
        <v>11370.320000000002</v>
      </c>
      <c r="I585" s="550">
        <v>5165.1082008000003</v>
      </c>
      <c r="J585" s="550">
        <v>11531.930399999999</v>
      </c>
      <c r="K585" s="550">
        <v>608617.10189772304</v>
      </c>
      <c r="L585" s="550">
        <v>91292.565284658456</v>
      </c>
      <c r="M585" s="550">
        <v>699909.6671823815</v>
      </c>
      <c r="N585" s="551">
        <v>21757.13695</v>
      </c>
    </row>
    <row r="586" spans="1:14" ht="50.1" customHeight="1">
      <c r="A586" s="546" t="s">
        <v>195</v>
      </c>
      <c r="B586" s="559" t="s">
        <v>294</v>
      </c>
      <c r="C586" s="548" t="s">
        <v>53</v>
      </c>
      <c r="D586" s="548"/>
      <c r="E586" s="550">
        <v>579414.66772000003</v>
      </c>
      <c r="F586" s="550"/>
      <c r="G586" s="550">
        <v>1135.0755769230768</v>
      </c>
      <c r="H586" s="550">
        <v>11370.320000000002</v>
      </c>
      <c r="I586" s="550">
        <v>5165.1082008000003</v>
      </c>
      <c r="J586" s="550">
        <v>11531.930399999999</v>
      </c>
      <c r="K586" s="550">
        <v>608617.10189772304</v>
      </c>
      <c r="L586" s="550">
        <v>91292.565284658456</v>
      </c>
      <c r="M586" s="550">
        <v>699909.6671823815</v>
      </c>
      <c r="N586" s="551">
        <v>21757.13695</v>
      </c>
    </row>
    <row r="587" spans="1:14" ht="50.1" customHeight="1">
      <c r="A587" s="546" t="s">
        <v>210</v>
      </c>
      <c r="B587" s="559" t="s">
        <v>295</v>
      </c>
      <c r="C587" s="548" t="s">
        <v>53</v>
      </c>
      <c r="D587" s="548"/>
      <c r="E587" s="550">
        <v>579414.66772000003</v>
      </c>
      <c r="F587" s="550"/>
      <c r="G587" s="550">
        <v>1135.0755769230768</v>
      </c>
      <c r="H587" s="550">
        <v>11370.320000000002</v>
      </c>
      <c r="I587" s="550">
        <v>5165.1082008000003</v>
      </c>
      <c r="J587" s="550">
        <v>11531.930399999999</v>
      </c>
      <c r="K587" s="550">
        <v>608617.10189772304</v>
      </c>
      <c r="L587" s="550">
        <v>91292.565284658456</v>
      </c>
      <c r="M587" s="550">
        <v>699909.6671823815</v>
      </c>
      <c r="N587" s="551">
        <v>21757.13695</v>
      </c>
    </row>
    <row r="588" spans="1:14" ht="39.950000000000003" customHeight="1">
      <c r="A588" s="546" t="s">
        <v>296</v>
      </c>
      <c r="B588" s="559" t="s">
        <v>297</v>
      </c>
      <c r="C588" s="548" t="s">
        <v>53</v>
      </c>
      <c r="D588" s="548"/>
      <c r="E588" s="550">
        <v>579414.66772000003</v>
      </c>
      <c r="F588" s="550"/>
      <c r="G588" s="550">
        <v>1135.0755769230768</v>
      </c>
      <c r="H588" s="550">
        <v>11370.320000000002</v>
      </c>
      <c r="I588" s="550">
        <v>5165.1082008000003</v>
      </c>
      <c r="J588" s="550">
        <v>11531.930399999999</v>
      </c>
      <c r="K588" s="550">
        <v>608617.10189772304</v>
      </c>
      <c r="L588" s="550">
        <v>91292.565284658456</v>
      </c>
      <c r="M588" s="550">
        <v>699909.6671823815</v>
      </c>
      <c r="N588" s="551">
        <v>21757.13695</v>
      </c>
    </row>
    <row r="589" spans="1:14" ht="39.950000000000003" customHeight="1">
      <c r="A589" s="546" t="s">
        <v>298</v>
      </c>
      <c r="B589" s="559" t="s">
        <v>299</v>
      </c>
      <c r="C589" s="548" t="s">
        <v>53</v>
      </c>
      <c r="D589" s="548"/>
      <c r="E589" s="550">
        <v>525977.34303999995</v>
      </c>
      <c r="F589" s="550"/>
      <c r="G589" s="550">
        <v>605.8378846153845</v>
      </c>
      <c r="H589" s="550">
        <v>11370.320000000002</v>
      </c>
      <c r="I589" s="550">
        <v>5165.1082008000003</v>
      </c>
      <c r="J589" s="550">
        <v>11531.930399999999</v>
      </c>
      <c r="K589" s="550">
        <v>554650.53952541528</v>
      </c>
      <c r="L589" s="550">
        <v>83197.580928812284</v>
      </c>
      <c r="M589" s="550">
        <v>637848.12045422755</v>
      </c>
      <c r="N589" s="551">
        <v>19969.779899999998</v>
      </c>
    </row>
    <row r="590" spans="1:14" ht="69.95" customHeight="1">
      <c r="A590" s="546" t="s">
        <v>300</v>
      </c>
      <c r="B590" s="559" t="s">
        <v>301</v>
      </c>
      <c r="C590" s="548" t="s">
        <v>53</v>
      </c>
      <c r="D590" s="548"/>
      <c r="E590" s="550">
        <v>579414.66772000003</v>
      </c>
      <c r="F590" s="550"/>
      <c r="G590" s="550">
        <v>1135.0755769230768</v>
      </c>
      <c r="H590" s="550">
        <v>11370.320000000002</v>
      </c>
      <c r="I590" s="550">
        <v>5165.1082008000003</v>
      </c>
      <c r="J590" s="550">
        <v>11531.930399999999</v>
      </c>
      <c r="K590" s="550">
        <v>608617.10189772304</v>
      </c>
      <c r="L590" s="550">
        <v>91292.565284658456</v>
      </c>
      <c r="M590" s="550">
        <v>699909.6671823815</v>
      </c>
      <c r="N590" s="551">
        <v>21757.13695</v>
      </c>
    </row>
    <row r="591" spans="1:14" ht="39.950000000000003" customHeight="1">
      <c r="A591" s="546" t="s">
        <v>302</v>
      </c>
      <c r="B591" s="559" t="s">
        <v>303</v>
      </c>
      <c r="C591" s="548" t="s">
        <v>53</v>
      </c>
      <c r="D591" s="548"/>
      <c r="E591" s="550">
        <v>535057.01158000005</v>
      </c>
      <c r="F591" s="550"/>
      <c r="G591" s="550">
        <v>832.15663461538452</v>
      </c>
      <c r="H591" s="550">
        <v>11370.320000000002</v>
      </c>
      <c r="I591" s="550">
        <v>5165.1082008000003</v>
      </c>
      <c r="J591" s="550">
        <v>11531.930399999999</v>
      </c>
      <c r="K591" s="550">
        <v>563956.52681541536</v>
      </c>
      <c r="L591" s="550">
        <v>84593.479022312298</v>
      </c>
      <c r="M591" s="550">
        <v>648550.00583772769</v>
      </c>
      <c r="N591" s="551">
        <v>20273.474174999999</v>
      </c>
    </row>
    <row r="592" spans="1:14" ht="35.1" customHeight="1">
      <c r="A592" s="546" t="s">
        <v>304</v>
      </c>
      <c r="B592" s="559" t="s">
        <v>305</v>
      </c>
      <c r="C592" s="548" t="s">
        <v>53</v>
      </c>
      <c r="D592" s="548"/>
      <c r="E592" s="550">
        <v>587234.29324000003</v>
      </c>
      <c r="F592" s="550"/>
      <c r="G592" s="550">
        <v>1664.313269230769</v>
      </c>
      <c r="H592" s="550">
        <v>11370.320000000002</v>
      </c>
      <c r="I592" s="550">
        <v>5165.1082008000003</v>
      </c>
      <c r="J592" s="550">
        <v>11531.930399999999</v>
      </c>
      <c r="K592" s="550">
        <v>616965.96511003072</v>
      </c>
      <c r="L592" s="550">
        <v>92544.8947665046</v>
      </c>
      <c r="M592" s="550">
        <v>709510.85987653537</v>
      </c>
      <c r="N592" s="551">
        <v>22018.685649999999</v>
      </c>
    </row>
    <row r="593" spans="1:14" ht="43.5" customHeight="1">
      <c r="A593" s="546" t="s">
        <v>306</v>
      </c>
      <c r="B593" s="559" t="s">
        <v>307</v>
      </c>
      <c r="C593" s="548" t="s">
        <v>53</v>
      </c>
      <c r="D593" s="548"/>
      <c r="E593" s="550">
        <v>575557.33161999995</v>
      </c>
      <c r="F593" s="550"/>
      <c r="G593" s="550">
        <v>832.15663461538452</v>
      </c>
      <c r="H593" s="550">
        <v>11370.320000000002</v>
      </c>
      <c r="I593" s="550">
        <v>5165.1082008000003</v>
      </c>
      <c r="J593" s="550">
        <v>11531.930399999999</v>
      </c>
      <c r="K593" s="550">
        <v>604456.84685541526</v>
      </c>
      <c r="L593" s="550">
        <v>90668.527028312281</v>
      </c>
      <c r="M593" s="550">
        <v>695125.37388372759</v>
      </c>
      <c r="N593" s="551">
        <v>21628.117824999998</v>
      </c>
    </row>
    <row r="594" spans="1:14" ht="99.95" customHeight="1">
      <c r="A594" s="546" t="s">
        <v>308</v>
      </c>
      <c r="B594" s="559" t="s">
        <v>309</v>
      </c>
      <c r="C594" s="548" t="s">
        <v>53</v>
      </c>
      <c r="D594" s="548"/>
      <c r="E594" s="550">
        <v>578366.34088000003</v>
      </c>
      <c r="F594" s="550"/>
      <c r="G594" s="550">
        <v>1058.4753846153844</v>
      </c>
      <c r="H594" s="550">
        <v>11370.320000000002</v>
      </c>
      <c r="I594" s="550">
        <v>5165.1082008000003</v>
      </c>
      <c r="J594" s="550">
        <v>11531.930399999999</v>
      </c>
      <c r="K594" s="550">
        <v>607492.17486541532</v>
      </c>
      <c r="L594" s="550">
        <v>91123.826229812301</v>
      </c>
      <c r="M594" s="550">
        <v>698616.00109522766</v>
      </c>
      <c r="N594" s="551">
        <v>21722.072799999998</v>
      </c>
    </row>
    <row r="595" spans="1:14" ht="50.1" customHeight="1">
      <c r="A595" s="546" t="s">
        <v>310</v>
      </c>
      <c r="B595" s="559" t="s">
        <v>311</v>
      </c>
      <c r="C595" s="548" t="s">
        <v>53</v>
      </c>
      <c r="D595" s="548"/>
      <c r="E595" s="550">
        <v>590803.30929999996</v>
      </c>
      <c r="F595" s="550"/>
      <c r="G595" s="550">
        <v>1967.2322115384613</v>
      </c>
      <c r="H595" s="550">
        <v>11370.320000000002</v>
      </c>
      <c r="I595" s="550">
        <v>5165.1082008000003</v>
      </c>
      <c r="J595" s="550">
        <v>11531.930399999999</v>
      </c>
      <c r="K595" s="550">
        <v>620837.90011233836</v>
      </c>
      <c r="L595" s="550">
        <v>93125.685016850752</v>
      </c>
      <c r="M595" s="550">
        <v>713963.58512918907</v>
      </c>
      <c r="N595" s="551">
        <v>22138.061125</v>
      </c>
    </row>
    <row r="596" spans="1:14" ht="35.1" customHeight="1">
      <c r="A596" s="546" t="s">
        <v>312</v>
      </c>
      <c r="B596" s="559" t="s">
        <v>313</v>
      </c>
      <c r="C596" s="548" t="s">
        <v>53</v>
      </c>
      <c r="D596" s="548"/>
      <c r="E596" s="550">
        <v>538678.50430000003</v>
      </c>
      <c r="F596" s="550"/>
      <c r="G596" s="550">
        <v>1096.7754807692306</v>
      </c>
      <c r="H596" s="550">
        <v>11370.320000000002</v>
      </c>
      <c r="I596" s="550">
        <v>5165.1082008000003</v>
      </c>
      <c r="J596" s="550">
        <v>11531.930399999999</v>
      </c>
      <c r="K596" s="550">
        <v>567842.63838156918</v>
      </c>
      <c r="L596" s="550">
        <v>85176.395757235368</v>
      </c>
      <c r="M596" s="550">
        <v>653019.03413880453</v>
      </c>
      <c r="N596" s="551">
        <v>20394.604875000001</v>
      </c>
    </row>
    <row r="597" spans="1:14" ht="35.1" customHeight="1">
      <c r="A597" s="546" t="s">
        <v>314</v>
      </c>
      <c r="B597" s="559" t="s">
        <v>315</v>
      </c>
      <c r="C597" s="548" t="s">
        <v>53</v>
      </c>
      <c r="D597" s="548"/>
      <c r="E597" s="550">
        <v>529863.02859999996</v>
      </c>
      <c r="F597" s="550"/>
      <c r="G597" s="550">
        <v>452.63749999999999</v>
      </c>
      <c r="H597" s="550">
        <v>11370.320000000002</v>
      </c>
      <c r="I597" s="550">
        <v>5165.1082008000003</v>
      </c>
      <c r="J597" s="550">
        <v>11531.930399999999</v>
      </c>
      <c r="K597" s="550">
        <v>558383.02470079984</v>
      </c>
      <c r="L597" s="550">
        <v>83757.453705119973</v>
      </c>
      <c r="M597" s="550">
        <v>642140.47840591986</v>
      </c>
      <c r="N597" s="551">
        <v>20099.74725</v>
      </c>
    </row>
    <row r="598" spans="1:14" ht="35.1" customHeight="1">
      <c r="A598" s="546" t="s">
        <v>316</v>
      </c>
      <c r="B598" s="559" t="s">
        <v>317</v>
      </c>
      <c r="C598" s="548" t="s">
        <v>53</v>
      </c>
      <c r="D598" s="548"/>
      <c r="E598" s="550">
        <v>180982.62635999999</v>
      </c>
      <c r="F598" s="550"/>
      <c r="G598" s="550">
        <v>832.15663461538452</v>
      </c>
      <c r="H598" s="550">
        <v>11370.320000000002</v>
      </c>
      <c r="I598" s="550">
        <v>5165.1082008000003</v>
      </c>
      <c r="J598" s="550">
        <v>11531.930399999999</v>
      </c>
      <c r="K598" s="550">
        <v>209882.14159541539</v>
      </c>
      <c r="L598" s="550">
        <v>31482.321239312307</v>
      </c>
      <c r="M598" s="550">
        <v>241364.46283472769</v>
      </c>
      <c r="N598" s="551">
        <v>6434.1841000000004</v>
      </c>
    </row>
    <row r="599" spans="1:14" ht="35.1" customHeight="1">
      <c r="A599" s="546" t="s">
        <v>318</v>
      </c>
      <c r="B599" s="559" t="s">
        <v>319</v>
      </c>
      <c r="C599" s="548" t="s">
        <v>53</v>
      </c>
      <c r="D599" s="548"/>
      <c r="E599" s="550">
        <v>579270.50769999996</v>
      </c>
      <c r="F599" s="550"/>
      <c r="G599" s="550">
        <v>1096.7754807692306</v>
      </c>
      <c r="H599" s="550">
        <v>11370.320000000002</v>
      </c>
      <c r="I599" s="550">
        <v>5165.1082008000003</v>
      </c>
      <c r="J599" s="550">
        <v>11531.930399999999</v>
      </c>
      <c r="K599" s="550">
        <v>608434.64178156911</v>
      </c>
      <c r="L599" s="550">
        <v>91265.196267235369</v>
      </c>
      <c r="M599" s="550">
        <v>699699.83804880443</v>
      </c>
      <c r="N599" s="551">
        <v>21752.315125000001</v>
      </c>
    </row>
    <row r="600" spans="1:14" ht="35.1" customHeight="1">
      <c r="A600" s="535" t="s">
        <v>22</v>
      </c>
      <c r="B600" s="584" t="s">
        <v>431</v>
      </c>
      <c r="C600" s="585" t="s">
        <v>53</v>
      </c>
      <c r="D600" s="584"/>
      <c r="E600" s="537">
        <v>756907.95</v>
      </c>
      <c r="F600" s="537">
        <v>0</v>
      </c>
      <c r="G600" s="537">
        <v>3481.9598557692302</v>
      </c>
      <c r="H600" s="537">
        <v>20527.560000000001</v>
      </c>
      <c r="I600" s="537">
        <v>8610.9136680000011</v>
      </c>
      <c r="J600" s="537">
        <v>19239.815999999999</v>
      </c>
      <c r="K600" s="537">
        <v>808768.1995237692</v>
      </c>
      <c r="L600" s="537">
        <v>121315.22992856537</v>
      </c>
      <c r="M600" s="537">
        <v>930083.42945233453</v>
      </c>
      <c r="N600" s="538">
        <v>42237.808375000001</v>
      </c>
    </row>
    <row r="601" spans="1:14" ht="35.1" customHeight="1">
      <c r="A601" s="539" t="s">
        <v>243</v>
      </c>
      <c r="B601" s="545" t="s">
        <v>166</v>
      </c>
      <c r="C601" s="540" t="s">
        <v>53</v>
      </c>
      <c r="D601" s="541">
        <v>0</v>
      </c>
      <c r="E601" s="542">
        <v>658462.69999999995</v>
      </c>
      <c r="F601" s="542"/>
      <c r="G601" s="542">
        <v>3256.8991987179484</v>
      </c>
      <c r="H601" s="542">
        <v>19419.48</v>
      </c>
      <c r="I601" s="542">
        <v>8527.3396680000005</v>
      </c>
      <c r="J601" s="542">
        <v>18801.311999999998</v>
      </c>
      <c r="K601" s="542">
        <v>708467.73086671787</v>
      </c>
      <c r="L601" s="542">
        <v>106270.15963000768</v>
      </c>
      <c r="M601" s="542">
        <v>814737.89049672557</v>
      </c>
      <c r="N601" s="543">
        <v>0</v>
      </c>
    </row>
    <row r="602" spans="1:14" ht="35.1" customHeight="1">
      <c r="A602" s="539" t="s">
        <v>244</v>
      </c>
      <c r="B602" s="545" t="s">
        <v>196</v>
      </c>
      <c r="C602" s="540" t="s">
        <v>53</v>
      </c>
      <c r="D602" s="541">
        <v>0</v>
      </c>
      <c r="E602" s="542">
        <v>80424</v>
      </c>
      <c r="F602" s="542"/>
      <c r="G602" s="542">
        <v>0</v>
      </c>
      <c r="H602" s="542">
        <v>0</v>
      </c>
      <c r="I602" s="542">
        <v>0</v>
      </c>
      <c r="J602" s="542">
        <v>0</v>
      </c>
      <c r="K602" s="542">
        <v>80424</v>
      </c>
      <c r="L602" s="542">
        <v>12063.6</v>
      </c>
      <c r="M602" s="542">
        <v>92487.6</v>
      </c>
      <c r="N602" s="543">
        <v>22138.061125</v>
      </c>
    </row>
    <row r="603" spans="1:14" ht="35.1" customHeight="1">
      <c r="A603" s="539" t="s">
        <v>245</v>
      </c>
      <c r="B603" s="545" t="s">
        <v>140</v>
      </c>
      <c r="C603" s="540" t="s">
        <v>53</v>
      </c>
      <c r="D603" s="541">
        <v>0</v>
      </c>
      <c r="E603" s="542">
        <v>18021.25</v>
      </c>
      <c r="F603" s="542"/>
      <c r="G603" s="542">
        <v>225.06065705128202</v>
      </c>
      <c r="H603" s="542">
        <v>1108.0800000000002</v>
      </c>
      <c r="I603" s="542">
        <v>83.573999999999998</v>
      </c>
      <c r="J603" s="542">
        <v>438.50400000000002</v>
      </c>
      <c r="K603" s="542">
        <v>19876.468657051286</v>
      </c>
      <c r="L603" s="542">
        <v>2981.4702985576928</v>
      </c>
      <c r="M603" s="542">
        <v>22857.938955608977</v>
      </c>
      <c r="N603" s="543">
        <v>20099.74725</v>
      </c>
    </row>
    <row r="604" spans="1:14" ht="35.1" customHeight="1">
      <c r="A604" s="539" t="s">
        <v>277</v>
      </c>
      <c r="B604" s="545" t="s">
        <v>258</v>
      </c>
      <c r="C604" s="540">
        <v>0</v>
      </c>
      <c r="D604" s="540">
        <v>0</v>
      </c>
      <c r="E604" s="542">
        <v>0</v>
      </c>
      <c r="F604" s="542"/>
      <c r="G604" s="542"/>
      <c r="H604" s="542"/>
      <c r="I604" s="542"/>
      <c r="J604" s="542"/>
      <c r="K604" s="542"/>
      <c r="L604" s="542"/>
      <c r="M604" s="542"/>
      <c r="N604" s="543"/>
    </row>
    <row r="605" spans="1:14" ht="69.95" customHeight="1">
      <c r="A605" s="578">
        <v>0</v>
      </c>
      <c r="B605" s="1839" t="s">
        <v>278</v>
      </c>
      <c r="C605" s="1839">
        <v>0</v>
      </c>
      <c r="D605" s="1839">
        <v>0</v>
      </c>
      <c r="E605" s="570"/>
      <c r="F605" s="570"/>
      <c r="G605" s="570"/>
      <c r="H605" s="570"/>
      <c r="I605" s="570"/>
      <c r="J605" s="570"/>
      <c r="K605" s="570"/>
      <c r="L605" s="570"/>
      <c r="M605" s="570"/>
      <c r="N605" s="571"/>
    </row>
    <row r="606" spans="1:14" ht="54.95" customHeight="1">
      <c r="A606" s="546" t="s">
        <v>33</v>
      </c>
      <c r="B606" s="559" t="s">
        <v>279</v>
      </c>
      <c r="C606" s="548" t="s">
        <v>53</v>
      </c>
      <c r="D606" s="548">
        <v>0</v>
      </c>
      <c r="E606" s="550">
        <v>546445.65315999999</v>
      </c>
      <c r="F606" s="550"/>
      <c r="G606" s="550">
        <v>0</v>
      </c>
      <c r="H606" s="550">
        <v>11370.320000000002</v>
      </c>
      <c r="I606" s="550">
        <v>5165.1082008000003</v>
      </c>
      <c r="J606" s="550">
        <v>11531.930399999999</v>
      </c>
      <c r="K606" s="550">
        <v>574513.01176079991</v>
      </c>
      <c r="L606" s="550">
        <v>86176.951764119978</v>
      </c>
      <c r="M606" s="550">
        <v>660689.96352491993</v>
      </c>
      <c r="N606" s="551">
        <v>20654.398349999999</v>
      </c>
    </row>
    <row r="607" spans="1:14" ht="54.95" customHeight="1">
      <c r="A607" s="546" t="s">
        <v>34</v>
      </c>
      <c r="B607" s="559" t="s">
        <v>280</v>
      </c>
      <c r="C607" s="548" t="s">
        <v>53</v>
      </c>
      <c r="D607" s="548">
        <v>0</v>
      </c>
      <c r="E607" s="550">
        <v>544396.6507</v>
      </c>
      <c r="F607" s="550"/>
      <c r="G607" s="550">
        <v>696.36538461538464</v>
      </c>
      <c r="H607" s="550">
        <v>11370.320000000002</v>
      </c>
      <c r="I607" s="550">
        <v>5165.1082008000003</v>
      </c>
      <c r="J607" s="550">
        <v>11531.930399999999</v>
      </c>
      <c r="K607" s="550">
        <v>573160.3746854153</v>
      </c>
      <c r="L607" s="550">
        <v>85974.056202812295</v>
      </c>
      <c r="M607" s="550">
        <v>659134.43088822765</v>
      </c>
      <c r="N607" s="551">
        <v>20585.863874999999</v>
      </c>
    </row>
    <row r="608" spans="1:14" ht="39.950000000000003" customHeight="1">
      <c r="A608" s="546" t="s">
        <v>35</v>
      </c>
      <c r="B608" s="559" t="s">
        <v>281</v>
      </c>
      <c r="C608" s="548" t="s">
        <v>53</v>
      </c>
      <c r="D608" s="548">
        <v>0</v>
      </c>
      <c r="E608" s="550">
        <v>529863.02859999996</v>
      </c>
      <c r="F608" s="550"/>
      <c r="G608" s="550">
        <v>522.27403846153845</v>
      </c>
      <c r="H608" s="550">
        <v>11370.320000000002</v>
      </c>
      <c r="I608" s="550">
        <v>5165.1082008000003</v>
      </c>
      <c r="J608" s="550">
        <v>11531.930399999999</v>
      </c>
      <c r="K608" s="550">
        <v>558452.66123926139</v>
      </c>
      <c r="L608" s="550">
        <v>83767.899185889211</v>
      </c>
      <c r="M608" s="550">
        <v>642220.56042515056</v>
      </c>
      <c r="N608" s="551">
        <v>20099.74725</v>
      </c>
    </row>
    <row r="609" spans="1:14" ht="39.950000000000003" customHeight="1">
      <c r="A609" s="546" t="s">
        <v>158</v>
      </c>
      <c r="B609" s="559" t="s">
        <v>282</v>
      </c>
      <c r="C609" s="548" t="s">
        <v>53</v>
      </c>
      <c r="D609" s="548">
        <v>0</v>
      </c>
      <c r="E609" s="550">
        <v>542299.99702000001</v>
      </c>
      <c r="F609" s="550"/>
      <c r="G609" s="550">
        <v>1044.5480769230769</v>
      </c>
      <c r="H609" s="550">
        <v>11370.320000000002</v>
      </c>
      <c r="I609" s="550">
        <v>5165.1082008000003</v>
      </c>
      <c r="J609" s="550">
        <v>11531.930399999999</v>
      </c>
      <c r="K609" s="550">
        <v>571411.90369772306</v>
      </c>
      <c r="L609" s="550">
        <v>85711.785554658461</v>
      </c>
      <c r="M609" s="550">
        <v>657123.68925238156</v>
      </c>
      <c r="N609" s="551">
        <v>20515.735574999999</v>
      </c>
    </row>
    <row r="610" spans="1:14" ht="50.1" customHeight="1">
      <c r="A610" s="546" t="s">
        <v>159</v>
      </c>
      <c r="B610" s="559" t="s">
        <v>283</v>
      </c>
      <c r="C610" s="548" t="s">
        <v>53</v>
      </c>
      <c r="D610" s="548">
        <v>0</v>
      </c>
      <c r="E610" s="550">
        <v>71904.576520000002</v>
      </c>
      <c r="F610" s="550"/>
      <c r="G610" s="550">
        <v>372.55548076923071</v>
      </c>
      <c r="H610" s="550">
        <v>11370.320000000002</v>
      </c>
      <c r="I610" s="550">
        <v>5165.1082008000003</v>
      </c>
      <c r="J610" s="550">
        <v>11531.930399999999</v>
      </c>
      <c r="K610" s="550">
        <v>100344.49060156922</v>
      </c>
      <c r="L610" s="550">
        <v>15051.673590235383</v>
      </c>
      <c r="M610" s="550">
        <v>115396.16419180461</v>
      </c>
      <c r="N610" s="551">
        <v>2663.0462000000002</v>
      </c>
    </row>
    <row r="611" spans="1:14" ht="39.950000000000003" customHeight="1">
      <c r="A611" s="546" t="s">
        <v>160</v>
      </c>
      <c r="B611" s="559" t="s">
        <v>284</v>
      </c>
      <c r="C611" s="548" t="s">
        <v>53</v>
      </c>
      <c r="D611" s="548">
        <v>0</v>
      </c>
      <c r="E611" s="550">
        <v>542299.99702000001</v>
      </c>
      <c r="F611" s="550"/>
      <c r="G611" s="550">
        <v>6963.6538461538457</v>
      </c>
      <c r="H611" s="550">
        <v>11370.320000000002</v>
      </c>
      <c r="I611" s="550">
        <v>5165.1082008000003</v>
      </c>
      <c r="J611" s="550">
        <v>11531.930399999999</v>
      </c>
      <c r="K611" s="550">
        <v>577331.00946695381</v>
      </c>
      <c r="L611" s="550">
        <v>86599.651420043068</v>
      </c>
      <c r="M611" s="550">
        <v>663930.66088699689</v>
      </c>
      <c r="N611" s="551">
        <v>20515.735574999999</v>
      </c>
    </row>
    <row r="612" spans="1:14" ht="39.950000000000003" customHeight="1">
      <c r="A612" s="546" t="s">
        <v>161</v>
      </c>
      <c r="B612" s="559" t="s">
        <v>285</v>
      </c>
      <c r="C612" s="548" t="s">
        <v>53</v>
      </c>
      <c r="D612" s="548">
        <v>0</v>
      </c>
      <c r="E612" s="550">
        <v>530911.35543999996</v>
      </c>
      <c r="F612" s="550"/>
      <c r="G612" s="550">
        <v>10.44548076923077</v>
      </c>
      <c r="H612" s="550">
        <v>11370.320000000002</v>
      </c>
      <c r="I612" s="550">
        <v>5165.1082008000003</v>
      </c>
      <c r="J612" s="550">
        <v>11531.930399999999</v>
      </c>
      <c r="K612" s="550">
        <v>558989.15952156915</v>
      </c>
      <c r="L612" s="550">
        <v>83848.373928235364</v>
      </c>
      <c r="M612" s="550">
        <v>642837.53344980453</v>
      </c>
      <c r="N612" s="551">
        <v>20134.811399999999</v>
      </c>
    </row>
    <row r="613" spans="1:14" ht="30" customHeight="1">
      <c r="A613" s="546" t="s">
        <v>162</v>
      </c>
      <c r="B613" s="559" t="s">
        <v>286</v>
      </c>
      <c r="C613" s="548" t="s">
        <v>53</v>
      </c>
      <c r="D613" s="548">
        <v>0</v>
      </c>
      <c r="E613" s="550">
        <v>579414.66772000003</v>
      </c>
      <c r="F613" s="550"/>
      <c r="G613" s="550">
        <v>0</v>
      </c>
      <c r="H613" s="550">
        <v>11370.320000000002</v>
      </c>
      <c r="I613" s="550">
        <v>5165.1082008000003</v>
      </c>
      <c r="J613" s="550">
        <v>11531.930399999999</v>
      </c>
      <c r="K613" s="550">
        <v>607482.02632079995</v>
      </c>
      <c r="L613" s="550">
        <v>91122.303948119996</v>
      </c>
      <c r="M613" s="550">
        <v>698604.33026891993</v>
      </c>
      <c r="N613" s="551">
        <v>21757.13695</v>
      </c>
    </row>
    <row r="614" spans="1:14" ht="39.950000000000003" customHeight="1">
      <c r="A614" s="546" t="s">
        <v>165</v>
      </c>
      <c r="B614" s="559" t="s">
        <v>287</v>
      </c>
      <c r="C614" s="548" t="s">
        <v>53</v>
      </c>
      <c r="D614" s="548">
        <v>0</v>
      </c>
      <c r="E614" s="550">
        <v>579414.66772000003</v>
      </c>
      <c r="F614" s="550"/>
      <c r="G614" s="550">
        <v>174.09134615384616</v>
      </c>
      <c r="H614" s="550">
        <v>11370.320000000002</v>
      </c>
      <c r="I614" s="550">
        <v>5165.1082008000003</v>
      </c>
      <c r="J614" s="550">
        <v>11531.930399999999</v>
      </c>
      <c r="K614" s="550">
        <v>607656.11766695383</v>
      </c>
      <c r="L614" s="550">
        <v>91148.417650043077</v>
      </c>
      <c r="M614" s="550">
        <v>698804.53531699686</v>
      </c>
      <c r="N614" s="551">
        <v>21757.13695</v>
      </c>
    </row>
    <row r="615" spans="1:14" ht="39.950000000000003" customHeight="1">
      <c r="A615" s="546" t="s">
        <v>37</v>
      </c>
      <c r="B615" s="559" t="s">
        <v>288</v>
      </c>
      <c r="C615" s="548" t="s">
        <v>53</v>
      </c>
      <c r="D615" s="548">
        <v>0</v>
      </c>
      <c r="E615" s="550">
        <v>579414.66772000003</v>
      </c>
      <c r="F615" s="550"/>
      <c r="G615" s="550">
        <v>348.18269230769232</v>
      </c>
      <c r="H615" s="550">
        <v>11370.320000000002</v>
      </c>
      <c r="I615" s="550">
        <v>5165.1082008000003</v>
      </c>
      <c r="J615" s="550">
        <v>11531.930399999999</v>
      </c>
      <c r="K615" s="550">
        <v>607830.2090131077</v>
      </c>
      <c r="L615" s="550">
        <v>91174.531351966158</v>
      </c>
      <c r="M615" s="550">
        <v>699004.7403650739</v>
      </c>
      <c r="N615" s="551">
        <v>21757.13695</v>
      </c>
    </row>
    <row r="616" spans="1:14" ht="39.950000000000003" customHeight="1">
      <c r="A616" s="546" t="s">
        <v>38</v>
      </c>
      <c r="B616" s="559" t="s">
        <v>289</v>
      </c>
      <c r="C616" s="548" t="s">
        <v>53</v>
      </c>
      <c r="D616" s="548">
        <v>0</v>
      </c>
      <c r="E616" s="550">
        <v>579414.66772000003</v>
      </c>
      <c r="F616" s="550"/>
      <c r="G616" s="550">
        <v>696.36538461538464</v>
      </c>
      <c r="H616" s="550">
        <v>11370.320000000002</v>
      </c>
      <c r="I616" s="550">
        <v>5165.1082008000003</v>
      </c>
      <c r="J616" s="550">
        <v>11531.930399999999</v>
      </c>
      <c r="K616" s="550">
        <v>608178.39170541533</v>
      </c>
      <c r="L616" s="550">
        <v>91226.75875581229</v>
      </c>
      <c r="M616" s="550">
        <v>699405.15046122763</v>
      </c>
      <c r="N616" s="551">
        <v>21757.13695</v>
      </c>
    </row>
    <row r="617" spans="1:14" ht="39.950000000000003" customHeight="1">
      <c r="A617" s="546" t="s">
        <v>184</v>
      </c>
      <c r="B617" s="559" t="s">
        <v>290</v>
      </c>
      <c r="C617" s="548" t="s">
        <v>53</v>
      </c>
      <c r="D617" s="548">
        <v>0</v>
      </c>
      <c r="E617" s="550">
        <v>581511.32140000002</v>
      </c>
      <c r="F617" s="550"/>
      <c r="G617" s="550">
        <v>114.90028846153847</v>
      </c>
      <c r="H617" s="550">
        <v>11370.320000000002</v>
      </c>
      <c r="I617" s="550">
        <v>5165.1082008000003</v>
      </c>
      <c r="J617" s="550">
        <v>11531.930399999999</v>
      </c>
      <c r="K617" s="550">
        <v>609693.58028926153</v>
      </c>
      <c r="L617" s="550">
        <v>91454.037043389224</v>
      </c>
      <c r="M617" s="550">
        <v>701147.61733265081</v>
      </c>
      <c r="N617" s="551">
        <v>21827.26525</v>
      </c>
    </row>
    <row r="618" spans="1:14" ht="39.950000000000003" customHeight="1">
      <c r="A618" s="546" t="s">
        <v>185</v>
      </c>
      <c r="B618" s="559" t="s">
        <v>291</v>
      </c>
      <c r="C618" s="548" t="s">
        <v>53</v>
      </c>
      <c r="D618" s="548">
        <v>0</v>
      </c>
      <c r="E618" s="550">
        <v>197368.23131999996</v>
      </c>
      <c r="F618" s="550"/>
      <c r="G618" s="550">
        <v>0</v>
      </c>
      <c r="H618" s="550">
        <v>11370.320000000002</v>
      </c>
      <c r="I618" s="550">
        <v>5165.1082008000003</v>
      </c>
      <c r="J618" s="550">
        <v>11531.930399999999</v>
      </c>
      <c r="K618" s="550">
        <v>225435.58992079998</v>
      </c>
      <c r="L618" s="550">
        <v>33815.338488119996</v>
      </c>
      <c r="M618" s="550">
        <v>259250.92840891998</v>
      </c>
      <c r="N618" s="551">
        <v>7477.2584999999981</v>
      </c>
    </row>
    <row r="619" spans="1:14" ht="39.950000000000003" customHeight="1">
      <c r="A619" s="546" t="s">
        <v>187</v>
      </c>
      <c r="B619" s="559" t="s">
        <v>292</v>
      </c>
      <c r="C619" s="548" t="s">
        <v>53</v>
      </c>
      <c r="D619" s="548">
        <v>0</v>
      </c>
      <c r="E619" s="550">
        <v>581511.32140000002</v>
      </c>
      <c r="F619" s="550"/>
      <c r="G619" s="550">
        <v>348.18269230769232</v>
      </c>
      <c r="H619" s="550">
        <v>11370.320000000002</v>
      </c>
      <c r="I619" s="550">
        <v>5165.1082008000003</v>
      </c>
      <c r="J619" s="550">
        <v>11531.930399999999</v>
      </c>
      <c r="K619" s="550">
        <v>609926.86269310769</v>
      </c>
      <c r="L619" s="550">
        <v>91489.029403966153</v>
      </c>
      <c r="M619" s="550">
        <v>701415.89209707384</v>
      </c>
      <c r="N619" s="551">
        <v>21827.26525</v>
      </c>
    </row>
    <row r="620" spans="1:14" ht="39.950000000000003" customHeight="1">
      <c r="A620" s="546" t="s">
        <v>194</v>
      </c>
      <c r="B620" s="559" t="s">
        <v>293</v>
      </c>
      <c r="C620" s="548" t="s">
        <v>53</v>
      </c>
      <c r="D620" s="548">
        <v>0</v>
      </c>
      <c r="E620" s="550">
        <v>579414.66772000003</v>
      </c>
      <c r="F620" s="550"/>
      <c r="G620" s="550">
        <v>522.27403846153845</v>
      </c>
      <c r="H620" s="550">
        <v>11370.320000000002</v>
      </c>
      <c r="I620" s="550">
        <v>5165.1082008000003</v>
      </c>
      <c r="J620" s="550">
        <v>11531.930399999999</v>
      </c>
      <c r="K620" s="550">
        <v>608004.30035926146</v>
      </c>
      <c r="L620" s="550">
        <v>91200.64505388921</v>
      </c>
      <c r="M620" s="550">
        <v>699204.94541315071</v>
      </c>
      <c r="N620" s="551">
        <v>21757.13695</v>
      </c>
    </row>
    <row r="621" spans="1:14" ht="50.1" customHeight="1">
      <c r="A621" s="546" t="s">
        <v>195</v>
      </c>
      <c r="B621" s="559" t="s">
        <v>294</v>
      </c>
      <c r="C621" s="548" t="s">
        <v>53</v>
      </c>
      <c r="D621" s="548">
        <v>0</v>
      </c>
      <c r="E621" s="550">
        <v>579414.66772000003</v>
      </c>
      <c r="F621" s="550"/>
      <c r="G621" s="550">
        <v>348.18269230769232</v>
      </c>
      <c r="H621" s="550">
        <v>11370.320000000002</v>
      </c>
      <c r="I621" s="550">
        <v>5165.1082008000003</v>
      </c>
      <c r="J621" s="550">
        <v>11531.930399999999</v>
      </c>
      <c r="K621" s="550">
        <v>607830.2090131077</v>
      </c>
      <c r="L621" s="550">
        <v>91174.531351966158</v>
      </c>
      <c r="M621" s="550">
        <v>699004.7403650739</v>
      </c>
      <c r="N621" s="551">
        <v>21757.13695</v>
      </c>
    </row>
    <row r="622" spans="1:14" ht="50.1" customHeight="1">
      <c r="A622" s="546" t="s">
        <v>210</v>
      </c>
      <c r="B622" s="559" t="s">
        <v>295</v>
      </c>
      <c r="C622" s="548" t="s">
        <v>53</v>
      </c>
      <c r="D622" s="548">
        <v>0</v>
      </c>
      <c r="E622" s="550">
        <v>579414.66772000003</v>
      </c>
      <c r="F622" s="550"/>
      <c r="G622" s="550">
        <v>1740.9134615384614</v>
      </c>
      <c r="H622" s="550">
        <v>11370.320000000002</v>
      </c>
      <c r="I622" s="550">
        <v>5165.1082008000003</v>
      </c>
      <c r="J622" s="550">
        <v>11531.930399999999</v>
      </c>
      <c r="K622" s="550">
        <v>609222.93978233845</v>
      </c>
      <c r="L622" s="550">
        <v>91383.440967350762</v>
      </c>
      <c r="M622" s="550">
        <v>700606.38074968918</v>
      </c>
      <c r="N622" s="551">
        <v>21757.13695</v>
      </c>
    </row>
    <row r="623" spans="1:14" ht="39.950000000000003" customHeight="1">
      <c r="A623" s="546" t="s">
        <v>296</v>
      </c>
      <c r="B623" s="559" t="s">
        <v>297</v>
      </c>
      <c r="C623" s="548" t="s">
        <v>53</v>
      </c>
      <c r="D623" s="548">
        <v>0</v>
      </c>
      <c r="E623" s="550">
        <v>579414.66772000003</v>
      </c>
      <c r="F623" s="550"/>
      <c r="G623" s="550">
        <v>1288.2759615384614</v>
      </c>
      <c r="H623" s="550">
        <v>11370.320000000002</v>
      </c>
      <c r="I623" s="550">
        <v>5165.1082008000003</v>
      </c>
      <c r="J623" s="550">
        <v>11531.930399999999</v>
      </c>
      <c r="K623" s="550">
        <v>608770.30228233838</v>
      </c>
      <c r="L623" s="550">
        <v>91315.545342350757</v>
      </c>
      <c r="M623" s="550">
        <v>700085.84762468911</v>
      </c>
      <c r="N623" s="551">
        <v>21757.13695</v>
      </c>
    </row>
    <row r="624" spans="1:14" ht="39.950000000000003" customHeight="1">
      <c r="A624" s="546" t="s">
        <v>298</v>
      </c>
      <c r="B624" s="559" t="s">
        <v>299</v>
      </c>
      <c r="C624" s="548" t="s">
        <v>53</v>
      </c>
      <c r="D624" s="548">
        <v>0</v>
      </c>
      <c r="E624" s="550">
        <v>525977.34303999995</v>
      </c>
      <c r="F624" s="550"/>
      <c r="G624" s="550">
        <v>114.90028846153847</v>
      </c>
      <c r="H624" s="550">
        <v>11370.320000000002</v>
      </c>
      <c r="I624" s="550">
        <v>5165.1082008000003</v>
      </c>
      <c r="J624" s="550">
        <v>11531.930399999999</v>
      </c>
      <c r="K624" s="550">
        <v>554159.60192926147</v>
      </c>
      <c r="L624" s="550">
        <v>83123.940289389211</v>
      </c>
      <c r="M624" s="550">
        <v>637283.54221865069</v>
      </c>
      <c r="N624" s="551">
        <v>19969.779899999998</v>
      </c>
    </row>
    <row r="625" spans="1:14" ht="69.95" customHeight="1">
      <c r="A625" s="546" t="s">
        <v>300</v>
      </c>
      <c r="B625" s="559" t="s">
        <v>301</v>
      </c>
      <c r="C625" s="548" t="s">
        <v>53</v>
      </c>
      <c r="D625" s="548">
        <v>0</v>
      </c>
      <c r="E625" s="550">
        <v>579414.66772000003</v>
      </c>
      <c r="F625" s="550"/>
      <c r="G625" s="550">
        <v>0</v>
      </c>
      <c r="H625" s="550">
        <v>11370.320000000002</v>
      </c>
      <c r="I625" s="550">
        <v>5165.1082008000003</v>
      </c>
      <c r="J625" s="550">
        <v>11531.930399999999</v>
      </c>
      <c r="K625" s="550">
        <v>607482.02632079995</v>
      </c>
      <c r="L625" s="550">
        <v>91122.303948119996</v>
      </c>
      <c r="M625" s="550">
        <v>698604.33026891993</v>
      </c>
      <c r="N625" s="551">
        <v>21757.13695</v>
      </c>
    </row>
    <row r="626" spans="1:14" ht="39.950000000000003" customHeight="1">
      <c r="A626" s="546" t="s">
        <v>302</v>
      </c>
      <c r="B626" s="559" t="s">
        <v>303</v>
      </c>
      <c r="C626" s="548" t="s">
        <v>53</v>
      </c>
      <c r="D626" s="548">
        <v>0</v>
      </c>
      <c r="E626" s="550">
        <v>535057.01158000005</v>
      </c>
      <c r="F626" s="550"/>
      <c r="G626" s="550">
        <v>0</v>
      </c>
      <c r="H626" s="550">
        <v>11370.320000000002</v>
      </c>
      <c r="I626" s="550">
        <v>5165.1082008000003</v>
      </c>
      <c r="J626" s="550">
        <v>11531.930399999999</v>
      </c>
      <c r="K626" s="550">
        <v>563124.37018079998</v>
      </c>
      <c r="L626" s="550">
        <v>84468.65552711999</v>
      </c>
      <c r="M626" s="550">
        <v>647593.02570791997</v>
      </c>
      <c r="N626" s="551">
        <v>20273.474174999999</v>
      </c>
    </row>
    <row r="627" spans="1:14" ht="30" customHeight="1">
      <c r="A627" s="546" t="s">
        <v>304</v>
      </c>
      <c r="B627" s="559" t="s">
        <v>305</v>
      </c>
      <c r="C627" s="548" t="s">
        <v>53</v>
      </c>
      <c r="D627" s="548">
        <v>0</v>
      </c>
      <c r="E627" s="550">
        <v>587234.29324000003</v>
      </c>
      <c r="F627" s="550"/>
      <c r="G627" s="550">
        <v>55.709230769230764</v>
      </c>
      <c r="H627" s="550">
        <v>11370.320000000002</v>
      </c>
      <c r="I627" s="550">
        <v>5165.1082008000003</v>
      </c>
      <c r="J627" s="550">
        <v>11531.930399999999</v>
      </c>
      <c r="K627" s="550">
        <v>615357.36107156915</v>
      </c>
      <c r="L627" s="550">
        <v>92303.604160735369</v>
      </c>
      <c r="M627" s="550">
        <v>707660.96523230453</v>
      </c>
      <c r="N627" s="551">
        <v>22018.685649999999</v>
      </c>
    </row>
    <row r="628" spans="1:14" ht="39.950000000000003" customHeight="1">
      <c r="A628" s="546" t="s">
        <v>306</v>
      </c>
      <c r="B628" s="559" t="s">
        <v>307</v>
      </c>
      <c r="C628" s="548" t="s">
        <v>53</v>
      </c>
      <c r="D628" s="548">
        <v>0</v>
      </c>
      <c r="E628" s="550">
        <v>575557.33161999995</v>
      </c>
      <c r="F628" s="550"/>
      <c r="G628" s="550">
        <v>27.854615384615382</v>
      </c>
      <c r="H628" s="550">
        <v>11370.320000000002</v>
      </c>
      <c r="I628" s="550">
        <v>5165.1082008000003</v>
      </c>
      <c r="J628" s="550">
        <v>11531.930399999999</v>
      </c>
      <c r="K628" s="550">
        <v>603652.54483618448</v>
      </c>
      <c r="L628" s="550">
        <v>90547.881725427666</v>
      </c>
      <c r="M628" s="550">
        <v>694200.42656161217</v>
      </c>
      <c r="N628" s="551">
        <v>21628.117824999998</v>
      </c>
    </row>
    <row r="629" spans="1:14" ht="99.95" customHeight="1">
      <c r="A629" s="546" t="s">
        <v>308</v>
      </c>
      <c r="B629" s="559" t="s">
        <v>309</v>
      </c>
      <c r="C629" s="548" t="s">
        <v>53</v>
      </c>
      <c r="D629" s="548">
        <v>0</v>
      </c>
      <c r="E629" s="550">
        <v>578366.34088000003</v>
      </c>
      <c r="F629" s="550"/>
      <c r="G629" s="550">
        <v>13.927307692307691</v>
      </c>
      <c r="H629" s="550">
        <v>11370.320000000002</v>
      </c>
      <c r="I629" s="550">
        <v>5165.1082008000003</v>
      </c>
      <c r="J629" s="550">
        <v>11531.930399999999</v>
      </c>
      <c r="K629" s="550">
        <v>606447.62678849231</v>
      </c>
      <c r="L629" s="550">
        <v>90967.144018273844</v>
      </c>
      <c r="M629" s="550">
        <v>697414.77080676612</v>
      </c>
      <c r="N629" s="551">
        <v>21722.072799999998</v>
      </c>
    </row>
    <row r="630" spans="1:14" ht="39.950000000000003" customHeight="1">
      <c r="A630" s="546" t="s">
        <v>310</v>
      </c>
      <c r="B630" s="559" t="s">
        <v>311</v>
      </c>
      <c r="C630" s="548" t="s">
        <v>53</v>
      </c>
      <c r="D630" s="548">
        <v>0</v>
      </c>
      <c r="E630" s="550">
        <v>590803.30929999996</v>
      </c>
      <c r="F630" s="550"/>
      <c r="G630" s="550">
        <v>34.818269230769232</v>
      </c>
      <c r="H630" s="550">
        <v>11370.320000000002</v>
      </c>
      <c r="I630" s="550">
        <v>5165.1082008000003</v>
      </c>
      <c r="J630" s="550">
        <v>11531.930399999999</v>
      </c>
      <c r="K630" s="550">
        <v>618905.48617003066</v>
      </c>
      <c r="L630" s="550">
        <v>92835.822925504603</v>
      </c>
      <c r="M630" s="550">
        <v>711741.30909553531</v>
      </c>
      <c r="N630" s="551">
        <v>22138.061125</v>
      </c>
    </row>
    <row r="631" spans="1:14" ht="39.950000000000003" customHeight="1">
      <c r="A631" s="546" t="s">
        <v>312</v>
      </c>
      <c r="B631" s="559" t="s">
        <v>313</v>
      </c>
      <c r="C631" s="548" t="s">
        <v>53</v>
      </c>
      <c r="D631" s="548">
        <v>0</v>
      </c>
      <c r="E631" s="550">
        <v>538678.50430000003</v>
      </c>
      <c r="F631" s="550"/>
      <c r="G631" s="550">
        <v>0</v>
      </c>
      <c r="H631" s="550">
        <v>11370.320000000002</v>
      </c>
      <c r="I631" s="550">
        <v>5165.1082008000003</v>
      </c>
      <c r="J631" s="550">
        <v>11531.930399999999</v>
      </c>
      <c r="K631" s="550">
        <v>566745.86290079996</v>
      </c>
      <c r="L631" s="550">
        <v>85011.87943511999</v>
      </c>
      <c r="M631" s="550">
        <v>651757.74233591999</v>
      </c>
      <c r="N631" s="551">
        <v>20394.604875000001</v>
      </c>
    </row>
    <row r="632" spans="1:14" ht="39.950000000000003" customHeight="1">
      <c r="A632" s="546" t="s">
        <v>314</v>
      </c>
      <c r="B632" s="559" t="s">
        <v>315</v>
      </c>
      <c r="C632" s="548" t="s">
        <v>53</v>
      </c>
      <c r="D632" s="548">
        <v>0</v>
      </c>
      <c r="E632" s="550">
        <v>529863.02859999996</v>
      </c>
      <c r="F632" s="550"/>
      <c r="G632" s="550">
        <v>1044.5480769230769</v>
      </c>
      <c r="H632" s="550">
        <v>11370.320000000002</v>
      </c>
      <c r="I632" s="550">
        <v>5165.1082008000003</v>
      </c>
      <c r="J632" s="550">
        <v>11531.930399999999</v>
      </c>
      <c r="K632" s="550">
        <v>558974.93527772301</v>
      </c>
      <c r="L632" s="550">
        <v>83846.240291658454</v>
      </c>
      <c r="M632" s="550">
        <v>642821.17556938145</v>
      </c>
      <c r="N632" s="551">
        <v>20099.74725</v>
      </c>
    </row>
    <row r="633" spans="1:14" ht="30" customHeight="1">
      <c r="A633" s="546" t="s">
        <v>316</v>
      </c>
      <c r="B633" s="559" t="s">
        <v>317</v>
      </c>
      <c r="C633" s="548" t="s">
        <v>53</v>
      </c>
      <c r="D633" s="548">
        <v>0</v>
      </c>
      <c r="E633" s="550">
        <v>180982.62635999999</v>
      </c>
      <c r="F633" s="550"/>
      <c r="G633" s="550">
        <v>0</v>
      </c>
      <c r="H633" s="550">
        <v>11370.320000000002</v>
      </c>
      <c r="I633" s="550">
        <v>5165.1082008000003</v>
      </c>
      <c r="J633" s="550">
        <v>11531.930399999999</v>
      </c>
      <c r="K633" s="550">
        <v>209049.98496080001</v>
      </c>
      <c r="L633" s="550">
        <v>31357.497744119999</v>
      </c>
      <c r="M633" s="550">
        <v>240407.48270492</v>
      </c>
      <c r="N633" s="551">
        <v>6434.1841000000004</v>
      </c>
    </row>
    <row r="634" spans="1:14" ht="30" customHeight="1">
      <c r="A634" s="546" t="s">
        <v>318</v>
      </c>
      <c r="B634" s="559" t="s">
        <v>319</v>
      </c>
      <c r="C634" s="548" t="s">
        <v>53</v>
      </c>
      <c r="D634" s="548">
        <v>0</v>
      </c>
      <c r="E634" s="550">
        <v>579270.50769999996</v>
      </c>
      <c r="F634" s="550"/>
      <c r="G634" s="550">
        <v>348.18269230769232</v>
      </c>
      <c r="H634" s="550">
        <v>11370.320000000002</v>
      </c>
      <c r="I634" s="550">
        <v>5165.1082008000003</v>
      </c>
      <c r="J634" s="550">
        <v>11531.930399999999</v>
      </c>
      <c r="K634" s="550">
        <v>607686.04899310763</v>
      </c>
      <c r="L634" s="550">
        <v>91152.907348966139</v>
      </c>
      <c r="M634" s="550">
        <v>698838.95634207374</v>
      </c>
      <c r="N634" s="551">
        <v>21752.315125000001</v>
      </c>
    </row>
    <row r="635" spans="1:14" ht="30" customHeight="1">
      <c r="A635" s="535"/>
      <c r="B635" s="1837" t="s">
        <v>518</v>
      </c>
      <c r="C635" s="1837"/>
      <c r="D635" s="1837"/>
      <c r="E635" s="1837"/>
      <c r="F635" s="1837"/>
      <c r="G635" s="1837"/>
      <c r="H635" s="1837"/>
      <c r="I635" s="1837"/>
      <c r="J635" s="1837"/>
      <c r="K635" s="1837"/>
      <c r="L635" s="1837"/>
      <c r="M635" s="1837"/>
      <c r="N635" s="1838"/>
    </row>
    <row r="636" spans="1:14" ht="30" customHeight="1">
      <c r="A636" s="535" t="s">
        <v>20</v>
      </c>
      <c r="B636" s="584" t="s">
        <v>430</v>
      </c>
      <c r="C636" s="585" t="s">
        <v>53</v>
      </c>
      <c r="D636" s="584"/>
      <c r="E636" s="537">
        <v>969218.19750000001</v>
      </c>
      <c r="F636" s="537">
        <v>0</v>
      </c>
      <c r="G636" s="537">
        <v>4526.375</v>
      </c>
      <c r="H636" s="537">
        <v>20617.200000000004</v>
      </c>
      <c r="I636" s="537">
        <v>11191.067768400002</v>
      </c>
      <c r="J636" s="537">
        <v>24985.849200000001</v>
      </c>
      <c r="K636" s="537">
        <v>1030538.6894684</v>
      </c>
      <c r="L636" s="537">
        <v>154580.80342026</v>
      </c>
      <c r="M636" s="537">
        <v>1185119.4928886599</v>
      </c>
      <c r="N636" s="538">
        <v>37945.817307692305</v>
      </c>
    </row>
    <row r="637" spans="1:14" ht="30" customHeight="1">
      <c r="A637" s="539" t="s">
        <v>243</v>
      </c>
      <c r="B637" s="545" t="s">
        <v>166</v>
      </c>
      <c r="C637" s="540" t="s">
        <v>53</v>
      </c>
      <c r="D637" s="541">
        <v>0</v>
      </c>
      <c r="E637" s="542">
        <v>841239.37250000006</v>
      </c>
      <c r="F637" s="542"/>
      <c r="G637" s="542">
        <v>3805.0016666666666</v>
      </c>
      <c r="H637" s="542">
        <v>18165.600000000002</v>
      </c>
      <c r="I637" s="542">
        <v>10967.535368400002</v>
      </c>
      <c r="J637" s="542">
        <v>23694.9804</v>
      </c>
      <c r="K637" s="542">
        <v>897872.48993506678</v>
      </c>
      <c r="L637" s="542">
        <v>134680.87349026001</v>
      </c>
      <c r="M637" s="542">
        <v>1032553.3634253268</v>
      </c>
      <c r="N637" s="543">
        <v>31641.125</v>
      </c>
    </row>
    <row r="638" spans="1:14" ht="30" customHeight="1">
      <c r="A638" s="539" t="s">
        <v>244</v>
      </c>
      <c r="B638" s="545" t="s">
        <v>196</v>
      </c>
      <c r="C638" s="540" t="s">
        <v>53</v>
      </c>
      <c r="D638" s="541">
        <v>0</v>
      </c>
      <c r="E638" s="542">
        <v>104551.2</v>
      </c>
      <c r="F638" s="542"/>
      <c r="G638" s="542">
        <v>0</v>
      </c>
      <c r="H638" s="542">
        <v>0</v>
      </c>
      <c r="I638" s="542">
        <v>0</v>
      </c>
      <c r="J638" s="542">
        <v>0</v>
      </c>
      <c r="K638" s="542">
        <v>104551.2</v>
      </c>
      <c r="L638" s="542">
        <v>15682.679999999998</v>
      </c>
      <c r="M638" s="542">
        <v>120233.87999999999</v>
      </c>
      <c r="N638" s="543">
        <v>3497</v>
      </c>
    </row>
    <row r="639" spans="1:14" ht="30" customHeight="1">
      <c r="A639" s="539" t="s">
        <v>245</v>
      </c>
      <c r="B639" s="545" t="s">
        <v>140</v>
      </c>
      <c r="C639" s="540" t="s">
        <v>53</v>
      </c>
      <c r="D639" s="541">
        <v>0</v>
      </c>
      <c r="E639" s="542">
        <v>23427.625</v>
      </c>
      <c r="F639" s="542"/>
      <c r="G639" s="542">
        <v>721.37333333333333</v>
      </c>
      <c r="H639" s="542">
        <v>2451.6000000000004</v>
      </c>
      <c r="I639" s="542">
        <v>223.53239999999997</v>
      </c>
      <c r="J639" s="542">
        <v>1290.8688</v>
      </c>
      <c r="K639" s="542">
        <v>28114.999533333335</v>
      </c>
      <c r="L639" s="542">
        <v>4217.2499299999999</v>
      </c>
      <c r="M639" s="542">
        <v>32332.249463333334</v>
      </c>
      <c r="N639" s="543">
        <v>2807.6923076923081</v>
      </c>
    </row>
    <row r="640" spans="1:14" ht="30" customHeight="1">
      <c r="A640" s="539" t="s">
        <v>277</v>
      </c>
      <c r="B640" s="545" t="s">
        <v>258</v>
      </c>
      <c r="C640" s="540">
        <v>0</v>
      </c>
      <c r="D640" s="540">
        <v>0</v>
      </c>
      <c r="E640" s="542"/>
      <c r="F640" s="542"/>
      <c r="G640" s="542"/>
      <c r="H640" s="542"/>
      <c r="I640" s="542"/>
      <c r="J640" s="542"/>
      <c r="K640" s="542"/>
      <c r="L640" s="542"/>
      <c r="M640" s="542"/>
      <c r="N640" s="543"/>
    </row>
    <row r="641" spans="1:14" ht="69.95" customHeight="1">
      <c r="A641" s="578"/>
      <c r="B641" s="1839" t="s">
        <v>278</v>
      </c>
      <c r="C641" s="1839">
        <v>0</v>
      </c>
      <c r="D641" s="1839">
        <v>0</v>
      </c>
      <c r="E641" s="570"/>
      <c r="F641" s="570"/>
      <c r="G641" s="570"/>
      <c r="H641" s="570"/>
      <c r="I641" s="570"/>
      <c r="J641" s="570"/>
      <c r="K641" s="570"/>
      <c r="L641" s="570"/>
      <c r="M641" s="570"/>
      <c r="N641" s="571"/>
    </row>
    <row r="642" spans="1:14" ht="50.1" customHeight="1">
      <c r="A642" s="546" t="s">
        <v>33</v>
      </c>
      <c r="B642" s="559" t="s">
        <v>279</v>
      </c>
      <c r="C642" s="548" t="s">
        <v>53</v>
      </c>
      <c r="D642" s="548"/>
      <c r="E642" s="550">
        <v>679056.29330000002</v>
      </c>
      <c r="F642" s="550"/>
      <c r="G642" s="550">
        <v>2163.60725</v>
      </c>
      <c r="H642" s="550">
        <v>11370.320000000002</v>
      </c>
      <c r="I642" s="550">
        <v>6714.6406610400009</v>
      </c>
      <c r="J642" s="550">
        <v>14991.50952</v>
      </c>
      <c r="K642" s="550">
        <v>714296.3707310399</v>
      </c>
      <c r="L642" s="550">
        <v>107144.45560965598</v>
      </c>
      <c r="M642" s="550">
        <v>821440.82634069584</v>
      </c>
      <c r="N642" s="551">
        <v>86232.260769230779</v>
      </c>
    </row>
    <row r="643" spans="1:14" ht="50.1" customHeight="1">
      <c r="A643" s="546" t="s">
        <v>34</v>
      </c>
      <c r="B643" s="559" t="s">
        <v>280</v>
      </c>
      <c r="C643" s="548" t="s">
        <v>53</v>
      </c>
      <c r="D643" s="548"/>
      <c r="E643" s="550">
        <v>675295.46600000001</v>
      </c>
      <c r="F643" s="550"/>
      <c r="G643" s="550">
        <v>1968.973125</v>
      </c>
      <c r="H643" s="550">
        <v>11370.320000000002</v>
      </c>
      <c r="I643" s="550">
        <v>6714.6406610400009</v>
      </c>
      <c r="J643" s="550">
        <v>14991.50952</v>
      </c>
      <c r="K643" s="550">
        <v>710340.90930603992</v>
      </c>
      <c r="L643" s="550">
        <v>106551.13639590598</v>
      </c>
      <c r="M643" s="550">
        <v>816892.0457019459</v>
      </c>
      <c r="N643" s="551">
        <v>85946.12884615385</v>
      </c>
    </row>
    <row r="644" spans="1:14" ht="39.950000000000003" customHeight="1">
      <c r="A644" s="546" t="s">
        <v>35</v>
      </c>
      <c r="B644" s="559" t="s">
        <v>281</v>
      </c>
      <c r="C644" s="548" t="s">
        <v>53</v>
      </c>
      <c r="D644" s="548"/>
      <c r="E644" s="550">
        <v>648619.83050000004</v>
      </c>
      <c r="F644" s="550"/>
      <c r="G644" s="550">
        <v>588.42875000000004</v>
      </c>
      <c r="H644" s="550">
        <v>11370.320000000002</v>
      </c>
      <c r="I644" s="550">
        <v>6714.6406610400009</v>
      </c>
      <c r="J644" s="550">
        <v>14991.50952</v>
      </c>
      <c r="K644" s="550">
        <v>682284.72943103989</v>
      </c>
      <c r="L644" s="550">
        <v>102342.70941465598</v>
      </c>
      <c r="M644" s="550">
        <v>784627.43884569593</v>
      </c>
      <c r="N644" s="551">
        <v>83916.588461538471</v>
      </c>
    </row>
    <row r="645" spans="1:14" ht="45" customHeight="1">
      <c r="A645" s="546" t="s">
        <v>158</v>
      </c>
      <c r="B645" s="559" t="s">
        <v>282</v>
      </c>
      <c r="C645" s="548" t="s">
        <v>53</v>
      </c>
      <c r="D645" s="548"/>
      <c r="E645" s="550">
        <v>671447.17760000005</v>
      </c>
      <c r="F645" s="550"/>
      <c r="G645" s="550">
        <v>1769.812625</v>
      </c>
      <c r="H645" s="550">
        <v>11370.320000000002</v>
      </c>
      <c r="I645" s="550">
        <v>6714.6406610400009</v>
      </c>
      <c r="J645" s="550">
        <v>14991.50952</v>
      </c>
      <c r="K645" s="550">
        <v>706293.46040603996</v>
      </c>
      <c r="L645" s="550">
        <v>105944.01906090599</v>
      </c>
      <c r="M645" s="550">
        <v>812237.47946694598</v>
      </c>
      <c r="N645" s="551">
        <v>85653.342692307706</v>
      </c>
    </row>
    <row r="646" spans="1:14" ht="50.1" customHeight="1">
      <c r="A646" s="546" t="s">
        <v>159</v>
      </c>
      <c r="B646" s="559" t="s">
        <v>283</v>
      </c>
      <c r="C646" s="548" t="s">
        <v>53</v>
      </c>
      <c r="D646" s="548"/>
      <c r="E646" s="550">
        <v>87196.213199999998</v>
      </c>
      <c r="F646" s="550"/>
      <c r="G646" s="550">
        <v>688.0089999999999</v>
      </c>
      <c r="H646" s="550">
        <v>11370.320000000002</v>
      </c>
      <c r="I646" s="550">
        <v>6714.6406610400009</v>
      </c>
      <c r="J646" s="550">
        <v>14991.50952</v>
      </c>
      <c r="K646" s="550">
        <v>120960.69238104002</v>
      </c>
      <c r="L646" s="550">
        <v>18144.103857156002</v>
      </c>
      <c r="M646" s="550">
        <v>139104.79623819602</v>
      </c>
      <c r="N646" s="551">
        <v>11118.236923076924</v>
      </c>
    </row>
    <row r="647" spans="1:14" ht="39.950000000000003" customHeight="1">
      <c r="A647" s="546" t="s">
        <v>160</v>
      </c>
      <c r="B647" s="559" t="s">
        <v>284</v>
      </c>
      <c r="C647" s="548" t="s">
        <v>53</v>
      </c>
      <c r="D647" s="548"/>
      <c r="E647" s="550">
        <v>671447.17760000005</v>
      </c>
      <c r="F647" s="550"/>
      <c r="G647" s="550">
        <v>1769.812625</v>
      </c>
      <c r="H647" s="550">
        <v>11370.320000000002</v>
      </c>
      <c r="I647" s="550">
        <v>6714.6406610400009</v>
      </c>
      <c r="J647" s="550">
        <v>14991.50952</v>
      </c>
      <c r="K647" s="550">
        <v>706293.46040603996</v>
      </c>
      <c r="L647" s="550">
        <v>105944.01906090599</v>
      </c>
      <c r="M647" s="550">
        <v>812237.47946694598</v>
      </c>
      <c r="N647" s="551">
        <v>85653.342692307706</v>
      </c>
    </row>
    <row r="648" spans="1:14" ht="39.950000000000003" customHeight="1">
      <c r="A648" s="546" t="s">
        <v>161</v>
      </c>
      <c r="B648" s="559" t="s">
        <v>285</v>
      </c>
      <c r="C648" s="548" t="s">
        <v>53</v>
      </c>
      <c r="D648" s="548"/>
      <c r="E648" s="550">
        <v>650543.97470000002</v>
      </c>
      <c r="F648" s="550"/>
      <c r="G648" s="550">
        <v>688.0089999999999</v>
      </c>
      <c r="H648" s="550">
        <v>11370.320000000002</v>
      </c>
      <c r="I648" s="550">
        <v>6714.6406610400009</v>
      </c>
      <c r="J648" s="550">
        <v>14991.50952</v>
      </c>
      <c r="K648" s="550">
        <v>684308.45388103987</v>
      </c>
      <c r="L648" s="550">
        <v>102646.26808215598</v>
      </c>
      <c r="M648" s="550">
        <v>786954.72196319583</v>
      </c>
      <c r="N648" s="551">
        <v>84062.98153846155</v>
      </c>
    </row>
    <row r="649" spans="1:14" ht="30" customHeight="1">
      <c r="A649" s="546" t="s">
        <v>162</v>
      </c>
      <c r="B649" s="559" t="s">
        <v>286</v>
      </c>
      <c r="C649" s="548" t="s">
        <v>53</v>
      </c>
      <c r="D649" s="548"/>
      <c r="E649" s="550">
        <v>718037.80610000005</v>
      </c>
      <c r="F649" s="550"/>
      <c r="G649" s="550">
        <v>1475.59825</v>
      </c>
      <c r="H649" s="550">
        <v>11370.320000000002</v>
      </c>
      <c r="I649" s="550">
        <v>6714.6406610400009</v>
      </c>
      <c r="J649" s="550">
        <v>14991.50952</v>
      </c>
      <c r="K649" s="550">
        <v>752589.87453103997</v>
      </c>
      <c r="L649" s="550">
        <v>112888.481179656</v>
      </c>
      <c r="M649" s="550">
        <v>865478.35571069596</v>
      </c>
      <c r="N649" s="551">
        <v>90836.202307692321</v>
      </c>
    </row>
    <row r="650" spans="1:14" ht="39.950000000000003" customHeight="1">
      <c r="A650" s="546" t="s">
        <v>165</v>
      </c>
      <c r="B650" s="559" t="s">
        <v>287</v>
      </c>
      <c r="C650" s="548" t="s">
        <v>53</v>
      </c>
      <c r="D650" s="548"/>
      <c r="E650" s="550">
        <v>718037.80610000005</v>
      </c>
      <c r="F650" s="550"/>
      <c r="G650" s="550">
        <v>1475.59825</v>
      </c>
      <c r="H650" s="550">
        <v>11370.320000000002</v>
      </c>
      <c r="I650" s="550">
        <v>6714.6406610400009</v>
      </c>
      <c r="J650" s="550">
        <v>14991.50952</v>
      </c>
      <c r="K650" s="550">
        <v>752589.87453103997</v>
      </c>
      <c r="L650" s="550">
        <v>112888.481179656</v>
      </c>
      <c r="M650" s="550">
        <v>865478.35571069596</v>
      </c>
      <c r="N650" s="551">
        <v>90836.202307692321</v>
      </c>
    </row>
    <row r="651" spans="1:14" ht="39.950000000000003" customHeight="1">
      <c r="A651" s="546" t="s">
        <v>37</v>
      </c>
      <c r="B651" s="559" t="s">
        <v>288</v>
      </c>
      <c r="C651" s="548" t="s">
        <v>53</v>
      </c>
      <c r="D651" s="548"/>
      <c r="E651" s="550">
        <v>718037.80610000005</v>
      </c>
      <c r="F651" s="550"/>
      <c r="G651" s="550">
        <v>1475.59825</v>
      </c>
      <c r="H651" s="550">
        <v>11370.320000000002</v>
      </c>
      <c r="I651" s="550">
        <v>6714.6406610400009</v>
      </c>
      <c r="J651" s="550">
        <v>14991.50952</v>
      </c>
      <c r="K651" s="550">
        <v>752589.87453103997</v>
      </c>
      <c r="L651" s="550">
        <v>112888.481179656</v>
      </c>
      <c r="M651" s="550">
        <v>865478.35571069596</v>
      </c>
      <c r="N651" s="551">
        <v>90836.202307692321</v>
      </c>
    </row>
    <row r="652" spans="1:14" ht="39.950000000000003" customHeight="1">
      <c r="A652" s="546" t="s">
        <v>38</v>
      </c>
      <c r="B652" s="559" t="s">
        <v>289</v>
      </c>
      <c r="C652" s="548" t="s">
        <v>53</v>
      </c>
      <c r="D652" s="548"/>
      <c r="E652" s="550">
        <v>718037.80610000005</v>
      </c>
      <c r="F652" s="550"/>
      <c r="G652" s="550">
        <v>1475.59825</v>
      </c>
      <c r="H652" s="550">
        <v>11370.320000000002</v>
      </c>
      <c r="I652" s="550">
        <v>6714.6406610400009</v>
      </c>
      <c r="J652" s="550">
        <v>14991.50952</v>
      </c>
      <c r="K652" s="550">
        <v>752589.87453103997</v>
      </c>
      <c r="L652" s="550">
        <v>112888.481179656</v>
      </c>
      <c r="M652" s="550">
        <v>865478.35571069596</v>
      </c>
      <c r="N652" s="551">
        <v>90836.202307692321</v>
      </c>
    </row>
    <row r="653" spans="1:14" ht="39.950000000000003" customHeight="1">
      <c r="A653" s="546" t="s">
        <v>184</v>
      </c>
      <c r="B653" s="559" t="s">
        <v>290</v>
      </c>
      <c r="C653" s="548" t="s">
        <v>53</v>
      </c>
      <c r="D653" s="548"/>
      <c r="E653" s="550">
        <v>721886.09450000001</v>
      </c>
      <c r="F653" s="550"/>
      <c r="G653" s="550">
        <v>1674.75875</v>
      </c>
      <c r="H653" s="550">
        <v>11370.320000000002</v>
      </c>
      <c r="I653" s="550">
        <v>6714.6406610400009</v>
      </c>
      <c r="J653" s="550">
        <v>14991.50952</v>
      </c>
      <c r="K653" s="550">
        <v>756637.32343103993</v>
      </c>
      <c r="L653" s="550">
        <v>113495.59851465598</v>
      </c>
      <c r="M653" s="550">
        <v>870132.92194569588</v>
      </c>
      <c r="N653" s="551">
        <v>91128.98846153848</v>
      </c>
    </row>
    <row r="654" spans="1:14" ht="39.950000000000003" customHeight="1">
      <c r="A654" s="546" t="s">
        <v>185</v>
      </c>
      <c r="B654" s="559" t="s">
        <v>291</v>
      </c>
      <c r="C654" s="548" t="s">
        <v>53</v>
      </c>
      <c r="D654" s="548"/>
      <c r="E654" s="550">
        <v>250313.14185000001</v>
      </c>
      <c r="F654" s="550"/>
      <c r="G654" s="550">
        <v>1575.1784999999998</v>
      </c>
      <c r="H654" s="550">
        <v>11370.320000000002</v>
      </c>
      <c r="I654" s="550">
        <v>6714.6406610400009</v>
      </c>
      <c r="J654" s="550">
        <v>14991.50952</v>
      </c>
      <c r="K654" s="550">
        <v>284964.79053103999</v>
      </c>
      <c r="L654" s="550">
        <v>42744.718579656001</v>
      </c>
      <c r="M654" s="550">
        <v>327709.50911069597</v>
      </c>
      <c r="N654" s="551">
        <v>31217.607692307691</v>
      </c>
    </row>
    <row r="655" spans="1:14" ht="39.950000000000003" customHeight="1">
      <c r="A655" s="546" t="s">
        <v>187</v>
      </c>
      <c r="B655" s="559" t="s">
        <v>292</v>
      </c>
      <c r="C655" s="548" t="s">
        <v>53</v>
      </c>
      <c r="D655" s="548"/>
      <c r="E655" s="550">
        <v>721886.09450000001</v>
      </c>
      <c r="F655" s="550"/>
      <c r="G655" s="550">
        <v>1674.75875</v>
      </c>
      <c r="H655" s="550">
        <v>11370.320000000002</v>
      </c>
      <c r="I655" s="550">
        <v>6714.6406610400009</v>
      </c>
      <c r="J655" s="550">
        <v>14991.50952</v>
      </c>
      <c r="K655" s="550">
        <v>756637.32343103993</v>
      </c>
      <c r="L655" s="550">
        <v>113495.59851465598</v>
      </c>
      <c r="M655" s="550">
        <v>870132.92194569588</v>
      </c>
      <c r="N655" s="551">
        <v>91128.98846153848</v>
      </c>
    </row>
    <row r="656" spans="1:14" ht="39.950000000000003" customHeight="1">
      <c r="A656" s="546" t="s">
        <v>194</v>
      </c>
      <c r="B656" s="559" t="s">
        <v>293</v>
      </c>
      <c r="C656" s="548" t="s">
        <v>53</v>
      </c>
      <c r="D656" s="548"/>
      <c r="E656" s="550">
        <v>718037.80610000005</v>
      </c>
      <c r="F656" s="550"/>
      <c r="G656" s="550">
        <v>1475.59825</v>
      </c>
      <c r="H656" s="550">
        <v>11370.320000000002</v>
      </c>
      <c r="I656" s="550">
        <v>6714.6406610400009</v>
      </c>
      <c r="J656" s="550">
        <v>14991.50952</v>
      </c>
      <c r="K656" s="550">
        <v>752589.87453103997</v>
      </c>
      <c r="L656" s="550">
        <v>112888.481179656</v>
      </c>
      <c r="M656" s="550">
        <v>865478.35571069596</v>
      </c>
      <c r="N656" s="551">
        <v>90836.202307692321</v>
      </c>
    </row>
    <row r="657" spans="1:14" ht="50.1" customHeight="1">
      <c r="A657" s="546" t="s">
        <v>195</v>
      </c>
      <c r="B657" s="559" t="s">
        <v>294</v>
      </c>
      <c r="C657" s="548" t="s">
        <v>53</v>
      </c>
      <c r="D657" s="548"/>
      <c r="E657" s="550">
        <v>718037.80610000005</v>
      </c>
      <c r="F657" s="550"/>
      <c r="G657" s="550">
        <v>1475.59825</v>
      </c>
      <c r="H657" s="550">
        <v>11370.320000000002</v>
      </c>
      <c r="I657" s="550">
        <v>6714.6406610400009</v>
      </c>
      <c r="J657" s="550">
        <v>14991.50952</v>
      </c>
      <c r="K657" s="550">
        <v>752589.87453103997</v>
      </c>
      <c r="L657" s="550">
        <v>112888.481179656</v>
      </c>
      <c r="M657" s="550">
        <v>865478.35571069596</v>
      </c>
      <c r="N657" s="551">
        <v>90836.202307692321</v>
      </c>
    </row>
    <row r="658" spans="1:14" ht="50.1" customHeight="1">
      <c r="A658" s="546" t="s">
        <v>210</v>
      </c>
      <c r="B658" s="559" t="s">
        <v>295</v>
      </c>
      <c r="C658" s="548" t="s">
        <v>53</v>
      </c>
      <c r="D658" s="548"/>
      <c r="E658" s="550">
        <v>718037.80610000005</v>
      </c>
      <c r="F658" s="550"/>
      <c r="G658" s="550">
        <v>1475.59825</v>
      </c>
      <c r="H658" s="550">
        <v>11370.320000000002</v>
      </c>
      <c r="I658" s="550">
        <v>6714.6406610400009</v>
      </c>
      <c r="J658" s="550">
        <v>14991.50952</v>
      </c>
      <c r="K658" s="550">
        <v>752589.87453103997</v>
      </c>
      <c r="L658" s="550">
        <v>112888.481179656</v>
      </c>
      <c r="M658" s="550">
        <v>865478.35571069596</v>
      </c>
      <c r="N658" s="551">
        <v>90836.202307692321</v>
      </c>
    </row>
    <row r="659" spans="1:14" ht="39.950000000000003" customHeight="1">
      <c r="A659" s="546" t="s">
        <v>296</v>
      </c>
      <c r="B659" s="559" t="s">
        <v>297</v>
      </c>
      <c r="C659" s="548" t="s">
        <v>53</v>
      </c>
      <c r="D659" s="548"/>
      <c r="E659" s="550">
        <v>718037.80610000005</v>
      </c>
      <c r="F659" s="550"/>
      <c r="G659" s="550">
        <v>1475.59825</v>
      </c>
      <c r="H659" s="550">
        <v>11370.320000000002</v>
      </c>
      <c r="I659" s="550">
        <v>6714.6406610400009</v>
      </c>
      <c r="J659" s="550">
        <v>14991.50952</v>
      </c>
      <c r="K659" s="550">
        <v>752589.87453103997</v>
      </c>
      <c r="L659" s="550">
        <v>112888.481179656</v>
      </c>
      <c r="M659" s="550">
        <v>865478.35571069596</v>
      </c>
      <c r="N659" s="551">
        <v>90836.202307692321</v>
      </c>
    </row>
    <row r="660" spans="1:14" ht="39.950000000000003" customHeight="1">
      <c r="A660" s="546" t="s">
        <v>298</v>
      </c>
      <c r="B660" s="559" t="s">
        <v>299</v>
      </c>
      <c r="C660" s="548" t="s">
        <v>53</v>
      </c>
      <c r="D660" s="548"/>
      <c r="E660" s="550">
        <v>644246.77550000011</v>
      </c>
      <c r="F660" s="550"/>
      <c r="G660" s="550">
        <v>787.58924999999988</v>
      </c>
      <c r="H660" s="550">
        <v>11370.320000000002</v>
      </c>
      <c r="I660" s="550">
        <v>6714.6406610400009</v>
      </c>
      <c r="J660" s="550">
        <v>14991.50952</v>
      </c>
      <c r="K660" s="550">
        <v>678110.83493103995</v>
      </c>
      <c r="L660" s="550">
        <v>101716.62523965599</v>
      </c>
      <c r="M660" s="550">
        <v>779827.46017069591</v>
      </c>
      <c r="N660" s="551">
        <v>83373.973846153851</v>
      </c>
    </row>
    <row r="661" spans="1:14" ht="69.95" customHeight="1">
      <c r="A661" s="546" t="s">
        <v>300</v>
      </c>
      <c r="B661" s="559" t="s">
        <v>301</v>
      </c>
      <c r="C661" s="548" t="s">
        <v>53</v>
      </c>
      <c r="D661" s="548"/>
      <c r="E661" s="550">
        <v>718037.80610000005</v>
      </c>
      <c r="F661" s="550"/>
      <c r="G661" s="550">
        <v>1475.59825</v>
      </c>
      <c r="H661" s="550">
        <v>11370.320000000002</v>
      </c>
      <c r="I661" s="550">
        <v>6714.6406610400009</v>
      </c>
      <c r="J661" s="550">
        <v>14991.50952</v>
      </c>
      <c r="K661" s="550">
        <v>752589.87453103997</v>
      </c>
      <c r="L661" s="550">
        <v>112888.481179656</v>
      </c>
      <c r="M661" s="550">
        <v>865478.35571069596</v>
      </c>
      <c r="N661" s="551">
        <v>90836.202307692321</v>
      </c>
    </row>
    <row r="662" spans="1:14" ht="39.950000000000003" customHeight="1">
      <c r="A662" s="546" t="s">
        <v>302</v>
      </c>
      <c r="B662" s="559" t="s">
        <v>303</v>
      </c>
      <c r="C662" s="548" t="s">
        <v>53</v>
      </c>
      <c r="D662" s="548"/>
      <c r="E662" s="550">
        <v>658153.0904000001</v>
      </c>
      <c r="F662" s="550"/>
      <c r="G662" s="550">
        <v>1081.803625</v>
      </c>
      <c r="H662" s="550">
        <v>11370.320000000002</v>
      </c>
      <c r="I662" s="550">
        <v>6714.6406610400009</v>
      </c>
      <c r="J662" s="550">
        <v>14991.50952</v>
      </c>
      <c r="K662" s="550">
        <v>692311.36420603993</v>
      </c>
      <c r="L662" s="550">
        <v>103846.70463090598</v>
      </c>
      <c r="M662" s="550">
        <v>796158.06883694592</v>
      </c>
      <c r="N662" s="551">
        <v>84641.899615384624</v>
      </c>
    </row>
    <row r="663" spans="1:14" ht="39.950000000000003" customHeight="1">
      <c r="A663" s="546" t="s">
        <v>304</v>
      </c>
      <c r="B663" s="559" t="s">
        <v>305</v>
      </c>
      <c r="C663" s="548" t="s">
        <v>53</v>
      </c>
      <c r="D663" s="548"/>
      <c r="E663" s="550">
        <v>731908.53338000004</v>
      </c>
      <c r="F663" s="550"/>
      <c r="G663" s="550">
        <v>2163.60725</v>
      </c>
      <c r="H663" s="550">
        <v>11370.320000000002</v>
      </c>
      <c r="I663" s="550">
        <v>6714.6406610400009</v>
      </c>
      <c r="J663" s="550">
        <v>14991.50952</v>
      </c>
      <c r="K663" s="550">
        <v>767148.61081103992</v>
      </c>
      <c r="L663" s="550">
        <v>115072.29162165598</v>
      </c>
      <c r="M663" s="550">
        <v>882220.90243269596</v>
      </c>
      <c r="N663" s="551">
        <v>91928.170000000013</v>
      </c>
    </row>
    <row r="664" spans="1:14" ht="39.950000000000003" customHeight="1">
      <c r="A664" s="546" t="s">
        <v>306</v>
      </c>
      <c r="B664" s="559" t="s">
        <v>307</v>
      </c>
      <c r="C664" s="548" t="s">
        <v>53</v>
      </c>
      <c r="D664" s="548"/>
      <c r="E664" s="550">
        <v>710717.0104400001</v>
      </c>
      <c r="F664" s="550"/>
      <c r="G664" s="550">
        <v>1081.803625</v>
      </c>
      <c r="H664" s="550">
        <v>11370.320000000002</v>
      </c>
      <c r="I664" s="550">
        <v>6714.6406610400009</v>
      </c>
      <c r="J664" s="550">
        <v>14991.50952</v>
      </c>
      <c r="K664" s="550">
        <v>744875.28424603993</v>
      </c>
      <c r="L664" s="550">
        <v>111731.29263690599</v>
      </c>
      <c r="M664" s="550">
        <v>856606.57688294596</v>
      </c>
      <c r="N664" s="551">
        <v>90297.546538461553</v>
      </c>
    </row>
    <row r="665" spans="1:14" ht="99.95" customHeight="1">
      <c r="A665" s="546" t="s">
        <v>308</v>
      </c>
      <c r="B665" s="559" t="s">
        <v>309</v>
      </c>
      <c r="C665" s="548" t="s">
        <v>53</v>
      </c>
      <c r="D665" s="548"/>
      <c r="E665" s="550">
        <v>716113.66190000006</v>
      </c>
      <c r="F665" s="550"/>
      <c r="G665" s="550">
        <v>1376.0179999999998</v>
      </c>
      <c r="H665" s="550">
        <v>11370.320000000002</v>
      </c>
      <c r="I665" s="550">
        <v>6714.6406610400009</v>
      </c>
      <c r="J665" s="550">
        <v>14991.50952</v>
      </c>
      <c r="K665" s="550">
        <v>750566.15008103999</v>
      </c>
      <c r="L665" s="550">
        <v>112584.922512156</v>
      </c>
      <c r="M665" s="550">
        <v>863151.07259319595</v>
      </c>
      <c r="N665" s="551">
        <v>90689.809230769242</v>
      </c>
    </row>
    <row r="666" spans="1:14" ht="45" customHeight="1">
      <c r="A666" s="546" t="s">
        <v>310</v>
      </c>
      <c r="B666" s="559" t="s">
        <v>311</v>
      </c>
      <c r="C666" s="548" t="s">
        <v>53</v>
      </c>
      <c r="D666" s="548"/>
      <c r="E666" s="550">
        <v>738941.00900000008</v>
      </c>
      <c r="F666" s="550"/>
      <c r="G666" s="550">
        <v>2557.401875</v>
      </c>
      <c r="H666" s="550">
        <v>11370.320000000002</v>
      </c>
      <c r="I666" s="550">
        <v>6714.6406610400009</v>
      </c>
      <c r="J666" s="550">
        <v>14991.50952</v>
      </c>
      <c r="K666" s="550">
        <v>774574.88105603994</v>
      </c>
      <c r="L666" s="550">
        <v>116186.23215840598</v>
      </c>
      <c r="M666" s="550">
        <v>890761.11321444588</v>
      </c>
      <c r="N666" s="551">
        <v>92426.563461538477</v>
      </c>
    </row>
    <row r="667" spans="1:14" ht="45" customHeight="1">
      <c r="A667" s="546" t="s">
        <v>312</v>
      </c>
      <c r="B667" s="559" t="s">
        <v>313</v>
      </c>
      <c r="C667" s="548" t="s">
        <v>53</v>
      </c>
      <c r="D667" s="548"/>
      <c r="E667" s="550">
        <v>664800.13400000008</v>
      </c>
      <c r="F667" s="550"/>
      <c r="G667" s="550">
        <v>1425.8081249999998</v>
      </c>
      <c r="H667" s="550">
        <v>11370.320000000002</v>
      </c>
      <c r="I667" s="550">
        <v>6714.6406610400009</v>
      </c>
      <c r="J667" s="550">
        <v>14991.50952</v>
      </c>
      <c r="K667" s="550">
        <v>699302.41230603994</v>
      </c>
      <c r="L667" s="550">
        <v>104895.36184590599</v>
      </c>
      <c r="M667" s="550">
        <v>804197.77415194595</v>
      </c>
      <c r="N667" s="551">
        <v>85147.621153846165</v>
      </c>
    </row>
    <row r="668" spans="1:14" ht="39.950000000000003" customHeight="1">
      <c r="A668" s="546" t="s">
        <v>314</v>
      </c>
      <c r="B668" s="559" t="s">
        <v>315</v>
      </c>
      <c r="C668" s="548" t="s">
        <v>53</v>
      </c>
      <c r="D668" s="548"/>
      <c r="E668" s="550">
        <v>648619.83050000004</v>
      </c>
      <c r="F668" s="550"/>
      <c r="G668" s="550">
        <v>588.42875000000004</v>
      </c>
      <c r="H668" s="550">
        <v>11370.320000000002</v>
      </c>
      <c r="I668" s="550">
        <v>6714.6406610400009</v>
      </c>
      <c r="J668" s="550">
        <v>14991.50952</v>
      </c>
      <c r="K668" s="550">
        <v>682284.72943103989</v>
      </c>
      <c r="L668" s="550">
        <v>102342.70941465598</v>
      </c>
      <c r="M668" s="550">
        <v>784627.43884569593</v>
      </c>
      <c r="N668" s="551">
        <v>83916.588461538471</v>
      </c>
    </row>
    <row r="669" spans="1:14" ht="30" customHeight="1">
      <c r="A669" s="546" t="s">
        <v>316</v>
      </c>
      <c r="B669" s="559" t="s">
        <v>317</v>
      </c>
      <c r="C669" s="548" t="s">
        <v>53</v>
      </c>
      <c r="D669" s="548"/>
      <c r="E669" s="550">
        <v>222636.52012</v>
      </c>
      <c r="F669" s="550"/>
      <c r="G669" s="550">
        <v>1081.803625</v>
      </c>
      <c r="H669" s="550">
        <v>11370.320000000002</v>
      </c>
      <c r="I669" s="550">
        <v>6714.6406610400009</v>
      </c>
      <c r="J669" s="550">
        <v>14991.50952</v>
      </c>
      <c r="K669" s="550">
        <v>256794.79392604</v>
      </c>
      <c r="L669" s="550">
        <v>38519.219088906</v>
      </c>
      <c r="M669" s="550">
        <v>295314.01301494602</v>
      </c>
      <c r="N669" s="551">
        <v>26862.764615384618</v>
      </c>
    </row>
    <row r="670" spans="1:14" ht="30" customHeight="1">
      <c r="A670" s="546" t="s">
        <v>318</v>
      </c>
      <c r="B670" s="559" t="s">
        <v>319</v>
      </c>
      <c r="C670" s="548" t="s">
        <v>53</v>
      </c>
      <c r="D670" s="548"/>
      <c r="E670" s="550">
        <v>717455.7374000001</v>
      </c>
      <c r="F670" s="550"/>
      <c r="G670" s="550">
        <v>1425.8081249999998</v>
      </c>
      <c r="H670" s="550">
        <v>11370.320000000002</v>
      </c>
      <c r="I670" s="550">
        <v>6714.6406610400009</v>
      </c>
      <c r="J670" s="550">
        <v>14991.50952</v>
      </c>
      <c r="K670" s="550">
        <v>751958.01570603997</v>
      </c>
      <c r="L670" s="550">
        <v>112793.70235590599</v>
      </c>
      <c r="M670" s="550">
        <v>864751.71806194598</v>
      </c>
      <c r="N670" s="551">
        <v>90816.071153846176</v>
      </c>
    </row>
    <row r="671" spans="1:14" ht="35.1" customHeight="1">
      <c r="A671" s="535" t="s">
        <v>22</v>
      </c>
      <c r="B671" s="584" t="s">
        <v>431</v>
      </c>
      <c r="C671" s="585" t="s">
        <v>53</v>
      </c>
      <c r="D671" s="584"/>
      <c r="E671" s="537">
        <v>1387560.8395000002</v>
      </c>
      <c r="F671" s="537">
        <v>0</v>
      </c>
      <c r="G671" s="537">
        <v>4526.5478125</v>
      </c>
      <c r="H671" s="537">
        <v>20527.560000000001</v>
      </c>
      <c r="I671" s="537">
        <v>11194.187768400001</v>
      </c>
      <c r="J671" s="537">
        <v>25011.760799999996</v>
      </c>
      <c r="K671" s="537">
        <v>1448820.8958809003</v>
      </c>
      <c r="L671" s="537">
        <v>217323.13438213503</v>
      </c>
      <c r="M671" s="537">
        <v>1666144.0302630353</v>
      </c>
      <c r="N671" s="538">
        <v>94396.871490384627</v>
      </c>
    </row>
    <row r="672" spans="1:14" ht="35.1" customHeight="1">
      <c r="A672" s="539" t="s">
        <v>243</v>
      </c>
      <c r="B672" s="545" t="s">
        <v>166</v>
      </c>
      <c r="C672" s="540" t="s">
        <v>53</v>
      </c>
      <c r="D672" s="541">
        <v>0</v>
      </c>
      <c r="E672" s="542">
        <v>0</v>
      </c>
      <c r="F672" s="542"/>
      <c r="G672" s="542">
        <v>4233.9689583333329</v>
      </c>
      <c r="H672" s="542">
        <v>19419.48</v>
      </c>
      <c r="I672" s="542">
        <v>11085.541568400002</v>
      </c>
      <c r="J672" s="542">
        <v>24441.705599999998</v>
      </c>
      <c r="K672" s="542">
        <v>59180.696126733339</v>
      </c>
      <c r="L672" s="542">
        <v>8877.1044190100001</v>
      </c>
      <c r="M672" s="542">
        <v>68057.800545743346</v>
      </c>
      <c r="N672" s="543">
        <v>0</v>
      </c>
    </row>
    <row r="673" spans="1:14" ht="35.1" customHeight="1">
      <c r="A673" s="539" t="s">
        <v>244</v>
      </c>
      <c r="B673" s="545" t="s">
        <v>196</v>
      </c>
      <c r="C673" s="540" t="s">
        <v>53</v>
      </c>
      <c r="D673" s="541">
        <v>0</v>
      </c>
      <c r="E673" s="542">
        <v>738941.00900000008</v>
      </c>
      <c r="F673" s="542"/>
      <c r="G673" s="542">
        <v>0</v>
      </c>
      <c r="H673" s="542">
        <v>0</v>
      </c>
      <c r="I673" s="542">
        <v>0</v>
      </c>
      <c r="J673" s="542">
        <v>0</v>
      </c>
      <c r="K673" s="542">
        <v>738941.00900000008</v>
      </c>
      <c r="L673" s="542">
        <v>110841.15135000001</v>
      </c>
      <c r="M673" s="542">
        <v>849782.16035000014</v>
      </c>
      <c r="N673" s="543">
        <v>27570.986875000002</v>
      </c>
    </row>
    <row r="674" spans="1:14" ht="35.1" customHeight="1">
      <c r="A674" s="539" t="s">
        <v>245</v>
      </c>
      <c r="B674" s="545" t="s">
        <v>140</v>
      </c>
      <c r="C674" s="540" t="s">
        <v>53</v>
      </c>
      <c r="D674" s="541">
        <v>0</v>
      </c>
      <c r="E674" s="542">
        <v>648619.83050000004</v>
      </c>
      <c r="F674" s="542"/>
      <c r="G674" s="542">
        <v>292.57885416666664</v>
      </c>
      <c r="H674" s="542">
        <v>1108.0800000000002</v>
      </c>
      <c r="I674" s="542">
        <v>108.64620000000001</v>
      </c>
      <c r="J674" s="542">
        <v>570.05520000000001</v>
      </c>
      <c r="K674" s="542">
        <v>650699.19075416657</v>
      </c>
      <c r="L674" s="542">
        <v>97604.87861312498</v>
      </c>
      <c r="M674" s="542">
        <v>748304.06936729152</v>
      </c>
      <c r="N674" s="543">
        <v>66825.884615384624</v>
      </c>
    </row>
    <row r="675" spans="1:14" ht="35.1" customHeight="1">
      <c r="A675" s="539" t="s">
        <v>277</v>
      </c>
      <c r="B675" s="545" t="s">
        <v>258</v>
      </c>
      <c r="C675" s="540">
        <v>0</v>
      </c>
      <c r="D675" s="540">
        <v>0</v>
      </c>
      <c r="E675" s="542"/>
      <c r="F675" s="542"/>
      <c r="G675" s="542"/>
      <c r="H675" s="542"/>
      <c r="I675" s="542"/>
      <c r="J675" s="542"/>
      <c r="K675" s="542"/>
      <c r="L675" s="542"/>
      <c r="M675" s="542"/>
      <c r="N675" s="543"/>
    </row>
    <row r="676" spans="1:14" ht="60" customHeight="1">
      <c r="A676" s="578">
        <v>0</v>
      </c>
      <c r="B676" s="1839" t="s">
        <v>278</v>
      </c>
      <c r="C676" s="1839">
        <v>0</v>
      </c>
      <c r="D676" s="1839">
        <v>0</v>
      </c>
      <c r="E676" s="570"/>
      <c r="F676" s="570"/>
      <c r="G676" s="570"/>
      <c r="H676" s="570"/>
      <c r="I676" s="570"/>
      <c r="J676" s="570"/>
      <c r="K676" s="570"/>
      <c r="L676" s="570"/>
      <c r="M676" s="570"/>
      <c r="N676" s="571"/>
    </row>
    <row r="677" spans="1:14" ht="54.95" customHeight="1">
      <c r="A677" s="546" t="s">
        <v>33</v>
      </c>
      <c r="B677" s="559" t="s">
        <v>279</v>
      </c>
      <c r="C677" s="548" t="s">
        <v>53</v>
      </c>
      <c r="D677" s="548">
        <v>0</v>
      </c>
      <c r="E677" s="550">
        <v>679056.29330000002</v>
      </c>
      <c r="F677" s="550">
        <v>0</v>
      </c>
      <c r="G677" s="550">
        <v>0</v>
      </c>
      <c r="H677" s="550">
        <v>11370.320000000002</v>
      </c>
      <c r="I677" s="550">
        <v>6714.6406610400009</v>
      </c>
      <c r="J677" s="550">
        <v>14991.50952</v>
      </c>
      <c r="K677" s="550">
        <v>712132.7634810399</v>
      </c>
      <c r="L677" s="550">
        <v>106819.91452215599</v>
      </c>
      <c r="M677" s="550">
        <v>818952.67800319591</v>
      </c>
      <c r="N677" s="551">
        <v>86232.260769230779</v>
      </c>
    </row>
    <row r="678" spans="1:14" ht="54.95" customHeight="1">
      <c r="A678" s="546" t="s">
        <v>34</v>
      </c>
      <c r="B678" s="559" t="s">
        <v>280</v>
      </c>
      <c r="C678" s="548" t="s">
        <v>53</v>
      </c>
      <c r="D678" s="548">
        <v>0</v>
      </c>
      <c r="E678" s="550">
        <v>675295.46600000001</v>
      </c>
      <c r="F678" s="550">
        <v>0</v>
      </c>
      <c r="G678" s="550">
        <v>905.27500000000009</v>
      </c>
      <c r="H678" s="550">
        <v>11370.320000000002</v>
      </c>
      <c r="I678" s="550">
        <v>6714.6406610400009</v>
      </c>
      <c r="J678" s="550">
        <v>14991.50952</v>
      </c>
      <c r="K678" s="550">
        <v>709277.21118103992</v>
      </c>
      <c r="L678" s="550">
        <v>106391.58167715599</v>
      </c>
      <c r="M678" s="550">
        <v>815668.79285819596</v>
      </c>
      <c r="N678" s="551">
        <v>85946.12884615385</v>
      </c>
    </row>
    <row r="679" spans="1:14" ht="39.950000000000003" customHeight="1">
      <c r="A679" s="546" t="s">
        <v>35</v>
      </c>
      <c r="B679" s="559" t="s">
        <v>281</v>
      </c>
      <c r="C679" s="548" t="s">
        <v>53</v>
      </c>
      <c r="D679" s="548">
        <v>0</v>
      </c>
      <c r="E679" s="550">
        <v>648619.83050000004</v>
      </c>
      <c r="F679" s="550">
        <v>0</v>
      </c>
      <c r="G679" s="550">
        <v>678.95625000000007</v>
      </c>
      <c r="H679" s="550">
        <v>11370.320000000002</v>
      </c>
      <c r="I679" s="550">
        <v>6714.6406610400009</v>
      </c>
      <c r="J679" s="550">
        <v>14991.50952</v>
      </c>
      <c r="K679" s="550">
        <v>682375.25693103997</v>
      </c>
      <c r="L679" s="550">
        <v>102356.28853965599</v>
      </c>
      <c r="M679" s="550">
        <v>784731.54547069594</v>
      </c>
      <c r="N679" s="551">
        <v>83916.588461538471</v>
      </c>
    </row>
    <row r="680" spans="1:14" ht="39.950000000000003" customHeight="1">
      <c r="A680" s="546" t="s">
        <v>158</v>
      </c>
      <c r="B680" s="559" t="s">
        <v>282</v>
      </c>
      <c r="C680" s="548" t="s">
        <v>53</v>
      </c>
      <c r="D680" s="548">
        <v>0</v>
      </c>
      <c r="E680" s="550">
        <v>671447.17760000005</v>
      </c>
      <c r="F680" s="550">
        <v>0</v>
      </c>
      <c r="G680" s="550">
        <v>1357.9125000000001</v>
      </c>
      <c r="H680" s="550">
        <v>11370.320000000002</v>
      </c>
      <c r="I680" s="550">
        <v>6714.6406610400009</v>
      </c>
      <c r="J680" s="550">
        <v>14991.50952</v>
      </c>
      <c r="K680" s="550">
        <v>705881.56028103991</v>
      </c>
      <c r="L680" s="550">
        <v>105882.23404215598</v>
      </c>
      <c r="M680" s="550">
        <v>811763.79432319594</v>
      </c>
      <c r="N680" s="551">
        <v>85653.342692307706</v>
      </c>
    </row>
    <row r="681" spans="1:14" ht="60" customHeight="1">
      <c r="A681" s="546" t="s">
        <v>159</v>
      </c>
      <c r="B681" s="559" t="s">
        <v>283</v>
      </c>
      <c r="C681" s="548" t="s">
        <v>53</v>
      </c>
      <c r="D681" s="548">
        <v>0</v>
      </c>
      <c r="E681" s="550">
        <v>87196.213199999998</v>
      </c>
      <c r="F681" s="550">
        <v>0</v>
      </c>
      <c r="G681" s="550">
        <v>484.32212499999991</v>
      </c>
      <c r="H681" s="550">
        <v>11370.320000000002</v>
      </c>
      <c r="I681" s="550">
        <v>6714.6406610400009</v>
      </c>
      <c r="J681" s="550">
        <v>14991.50952</v>
      </c>
      <c r="K681" s="550">
        <v>120757.00550604</v>
      </c>
      <c r="L681" s="550">
        <v>18113.550825906001</v>
      </c>
      <c r="M681" s="550">
        <v>138870.55633194599</v>
      </c>
      <c r="N681" s="551">
        <v>11118.236923076924</v>
      </c>
    </row>
    <row r="682" spans="1:14" ht="39.950000000000003" customHeight="1">
      <c r="A682" s="546" t="s">
        <v>160</v>
      </c>
      <c r="B682" s="559" t="s">
        <v>284</v>
      </c>
      <c r="C682" s="548" t="s">
        <v>53</v>
      </c>
      <c r="D682" s="548">
        <v>0</v>
      </c>
      <c r="E682" s="550">
        <v>671447.17760000005</v>
      </c>
      <c r="F682" s="550">
        <v>0</v>
      </c>
      <c r="G682" s="550">
        <v>9052.75</v>
      </c>
      <c r="H682" s="550">
        <v>11370.320000000002</v>
      </c>
      <c r="I682" s="550">
        <v>6714.6406610400009</v>
      </c>
      <c r="J682" s="550">
        <v>14991.50952</v>
      </c>
      <c r="K682" s="550">
        <v>713576.39778103994</v>
      </c>
      <c r="L682" s="550">
        <v>107036.45966715598</v>
      </c>
      <c r="M682" s="550">
        <v>820612.85744819592</v>
      </c>
      <c r="N682" s="551">
        <v>85653.342692307706</v>
      </c>
    </row>
    <row r="683" spans="1:14" ht="39.950000000000003" customHeight="1">
      <c r="A683" s="546" t="s">
        <v>161</v>
      </c>
      <c r="B683" s="559" t="s">
        <v>285</v>
      </c>
      <c r="C683" s="548" t="s">
        <v>53</v>
      </c>
      <c r="D683" s="548">
        <v>0</v>
      </c>
      <c r="E683" s="550">
        <v>650543.97470000002</v>
      </c>
      <c r="F683" s="550">
        <v>0</v>
      </c>
      <c r="G683" s="550">
        <v>13.579125000000001</v>
      </c>
      <c r="H683" s="550">
        <v>11370.320000000002</v>
      </c>
      <c r="I683" s="550">
        <v>6714.6406610400009</v>
      </c>
      <c r="J683" s="550">
        <v>14991.50952</v>
      </c>
      <c r="K683" s="550">
        <v>683634.02400603995</v>
      </c>
      <c r="L683" s="550">
        <v>102545.10360090599</v>
      </c>
      <c r="M683" s="550">
        <v>786179.12760694593</v>
      </c>
      <c r="N683" s="551">
        <v>84062.98153846155</v>
      </c>
    </row>
    <row r="684" spans="1:14" ht="30" customHeight="1">
      <c r="A684" s="546" t="s">
        <v>162</v>
      </c>
      <c r="B684" s="559" t="s">
        <v>286</v>
      </c>
      <c r="C684" s="548" t="s">
        <v>53</v>
      </c>
      <c r="D684" s="548">
        <v>0</v>
      </c>
      <c r="E684" s="550">
        <v>718037.80610000005</v>
      </c>
      <c r="F684" s="550">
        <v>0</v>
      </c>
      <c r="G684" s="550">
        <v>0</v>
      </c>
      <c r="H684" s="550">
        <v>11370.320000000002</v>
      </c>
      <c r="I684" s="550">
        <v>6714.6406610400009</v>
      </c>
      <c r="J684" s="550">
        <v>14991.50952</v>
      </c>
      <c r="K684" s="550">
        <v>751114.27628103993</v>
      </c>
      <c r="L684" s="550">
        <v>112667.14144215599</v>
      </c>
      <c r="M684" s="550">
        <v>863781.41772319586</v>
      </c>
      <c r="N684" s="551">
        <v>90836.202307692321</v>
      </c>
    </row>
    <row r="685" spans="1:14" ht="39.950000000000003" customHeight="1">
      <c r="A685" s="546" t="s">
        <v>165</v>
      </c>
      <c r="B685" s="559" t="s">
        <v>287</v>
      </c>
      <c r="C685" s="548" t="s">
        <v>53</v>
      </c>
      <c r="D685" s="548">
        <v>0</v>
      </c>
      <c r="E685" s="550">
        <v>718037.80610000005</v>
      </c>
      <c r="F685" s="550">
        <v>0</v>
      </c>
      <c r="G685" s="550">
        <v>226.31875000000002</v>
      </c>
      <c r="H685" s="550">
        <v>11370.320000000002</v>
      </c>
      <c r="I685" s="550">
        <v>6714.6406610400009</v>
      </c>
      <c r="J685" s="550">
        <v>14991.50952</v>
      </c>
      <c r="K685" s="550">
        <v>751340.59503103991</v>
      </c>
      <c r="L685" s="550">
        <v>112701.08925465598</v>
      </c>
      <c r="M685" s="550">
        <v>864041.6842856959</v>
      </c>
      <c r="N685" s="551">
        <v>90836.202307692321</v>
      </c>
    </row>
    <row r="686" spans="1:14" ht="39.950000000000003" customHeight="1">
      <c r="A686" s="546" t="s">
        <v>37</v>
      </c>
      <c r="B686" s="559" t="s">
        <v>288</v>
      </c>
      <c r="C686" s="548" t="s">
        <v>53</v>
      </c>
      <c r="D686" s="548">
        <v>0</v>
      </c>
      <c r="E686" s="550">
        <v>718037.80610000005</v>
      </c>
      <c r="F686" s="550">
        <v>0</v>
      </c>
      <c r="G686" s="550">
        <v>452.63750000000005</v>
      </c>
      <c r="H686" s="550">
        <v>11370.320000000002</v>
      </c>
      <c r="I686" s="550">
        <v>6714.6406610400009</v>
      </c>
      <c r="J686" s="550">
        <v>14991.50952</v>
      </c>
      <c r="K686" s="550">
        <v>751566.91378103988</v>
      </c>
      <c r="L686" s="550">
        <v>112735.03706715598</v>
      </c>
      <c r="M686" s="550">
        <v>864301.95084819582</v>
      </c>
      <c r="N686" s="551">
        <v>90836.202307692321</v>
      </c>
    </row>
    <row r="687" spans="1:14" ht="39.950000000000003" customHeight="1">
      <c r="A687" s="546" t="s">
        <v>38</v>
      </c>
      <c r="B687" s="559" t="s">
        <v>289</v>
      </c>
      <c r="C687" s="548" t="s">
        <v>53</v>
      </c>
      <c r="D687" s="548">
        <v>0</v>
      </c>
      <c r="E687" s="550">
        <v>718037.80610000005</v>
      </c>
      <c r="F687" s="550">
        <v>0</v>
      </c>
      <c r="G687" s="550">
        <v>905.27500000000009</v>
      </c>
      <c r="H687" s="550">
        <v>11370.320000000002</v>
      </c>
      <c r="I687" s="550">
        <v>6714.6406610400009</v>
      </c>
      <c r="J687" s="550">
        <v>14991.50952</v>
      </c>
      <c r="K687" s="550">
        <v>752019.55128103995</v>
      </c>
      <c r="L687" s="550">
        <v>112802.93269215598</v>
      </c>
      <c r="M687" s="550">
        <v>864822.48397319589</v>
      </c>
      <c r="N687" s="551">
        <v>90836.202307692321</v>
      </c>
    </row>
    <row r="688" spans="1:14" ht="39.950000000000003" customHeight="1">
      <c r="A688" s="546" t="s">
        <v>184</v>
      </c>
      <c r="B688" s="559" t="s">
        <v>290</v>
      </c>
      <c r="C688" s="548" t="s">
        <v>53</v>
      </c>
      <c r="D688" s="548">
        <v>0</v>
      </c>
      <c r="E688" s="550">
        <v>721886.09450000001</v>
      </c>
      <c r="F688" s="550">
        <v>0</v>
      </c>
      <c r="G688" s="550">
        <v>149.37037500000002</v>
      </c>
      <c r="H688" s="550">
        <v>11370.320000000002</v>
      </c>
      <c r="I688" s="550">
        <v>6714.6406610400009</v>
      </c>
      <c r="J688" s="550">
        <v>14991.50952</v>
      </c>
      <c r="K688" s="550">
        <v>755111.93505603995</v>
      </c>
      <c r="L688" s="550">
        <v>113266.79025840599</v>
      </c>
      <c r="M688" s="550">
        <v>868378.72531444591</v>
      </c>
      <c r="N688" s="551">
        <v>91128.98846153848</v>
      </c>
    </row>
    <row r="689" spans="1:14" ht="39.950000000000003" customHeight="1">
      <c r="A689" s="546" t="s">
        <v>185</v>
      </c>
      <c r="B689" s="559" t="s">
        <v>291</v>
      </c>
      <c r="C689" s="548" t="s">
        <v>53</v>
      </c>
      <c r="D689" s="548">
        <v>0</v>
      </c>
      <c r="E689" s="550">
        <v>250313.14185000001</v>
      </c>
      <c r="F689" s="550">
        <v>0</v>
      </c>
      <c r="G689" s="550">
        <v>0</v>
      </c>
      <c r="H689" s="550">
        <v>11370.320000000002</v>
      </c>
      <c r="I689" s="550">
        <v>6714.6406610400009</v>
      </c>
      <c r="J689" s="550">
        <v>14991.50952</v>
      </c>
      <c r="K689" s="550">
        <v>283389.61203104007</v>
      </c>
      <c r="L689" s="550">
        <v>42508.441804656009</v>
      </c>
      <c r="M689" s="550">
        <v>325898.05383569608</v>
      </c>
      <c r="N689" s="551">
        <v>31217.607692307691</v>
      </c>
    </row>
    <row r="690" spans="1:14" ht="39.950000000000003" customHeight="1">
      <c r="A690" s="546" t="s">
        <v>187</v>
      </c>
      <c r="B690" s="559" t="s">
        <v>292</v>
      </c>
      <c r="C690" s="548" t="s">
        <v>53</v>
      </c>
      <c r="D690" s="548">
        <v>0</v>
      </c>
      <c r="E690" s="550">
        <v>721886.09450000001</v>
      </c>
      <c r="F690" s="550">
        <v>0</v>
      </c>
      <c r="G690" s="550">
        <v>452.63750000000005</v>
      </c>
      <c r="H690" s="550">
        <v>11370.320000000002</v>
      </c>
      <c r="I690" s="550">
        <v>6714.6406610400009</v>
      </c>
      <c r="J690" s="550">
        <v>14991.50952</v>
      </c>
      <c r="K690" s="550">
        <v>755415.20218103984</v>
      </c>
      <c r="L690" s="550">
        <v>113312.28032715597</v>
      </c>
      <c r="M690" s="550">
        <v>868727.4825081958</v>
      </c>
      <c r="N690" s="551">
        <v>91128.98846153848</v>
      </c>
    </row>
    <row r="691" spans="1:14" ht="39.950000000000003" customHeight="1">
      <c r="A691" s="546" t="s">
        <v>194</v>
      </c>
      <c r="B691" s="559" t="s">
        <v>293</v>
      </c>
      <c r="C691" s="548" t="s">
        <v>53</v>
      </c>
      <c r="D691" s="548">
        <v>0</v>
      </c>
      <c r="E691" s="550">
        <v>718037.80610000005</v>
      </c>
      <c r="F691" s="550">
        <v>0</v>
      </c>
      <c r="G691" s="550">
        <v>678.95625000000007</v>
      </c>
      <c r="H691" s="550">
        <v>11370.320000000002</v>
      </c>
      <c r="I691" s="550">
        <v>6714.6406610400009</v>
      </c>
      <c r="J691" s="550">
        <v>14991.50952</v>
      </c>
      <c r="K691" s="550">
        <v>751793.23253103998</v>
      </c>
      <c r="L691" s="550">
        <v>112768.984879656</v>
      </c>
      <c r="M691" s="550">
        <v>864562.21741069597</v>
      </c>
      <c r="N691" s="551">
        <v>90836.202307692321</v>
      </c>
    </row>
    <row r="692" spans="1:14" ht="60" customHeight="1">
      <c r="A692" s="546" t="s">
        <v>195</v>
      </c>
      <c r="B692" s="559" t="s">
        <v>294</v>
      </c>
      <c r="C692" s="548" t="s">
        <v>53</v>
      </c>
      <c r="D692" s="548">
        <v>0</v>
      </c>
      <c r="E692" s="550">
        <v>718037.80610000005</v>
      </c>
      <c r="F692" s="550">
        <v>0</v>
      </c>
      <c r="G692" s="550">
        <v>452.63750000000005</v>
      </c>
      <c r="H692" s="550">
        <v>11370.320000000002</v>
      </c>
      <c r="I692" s="550">
        <v>6714.6406610400009</v>
      </c>
      <c r="J692" s="550">
        <v>14991.50952</v>
      </c>
      <c r="K692" s="550">
        <v>751566.91378103988</v>
      </c>
      <c r="L692" s="550">
        <v>112735.03706715598</v>
      </c>
      <c r="M692" s="550">
        <v>864301.95084819582</v>
      </c>
      <c r="N692" s="551">
        <v>90836.202307692321</v>
      </c>
    </row>
    <row r="693" spans="1:14" ht="60" customHeight="1">
      <c r="A693" s="546" t="s">
        <v>210</v>
      </c>
      <c r="B693" s="559" t="s">
        <v>295</v>
      </c>
      <c r="C693" s="548" t="s">
        <v>53</v>
      </c>
      <c r="D693" s="548">
        <v>0</v>
      </c>
      <c r="E693" s="550">
        <v>718037.80610000005</v>
      </c>
      <c r="F693" s="550">
        <v>0</v>
      </c>
      <c r="G693" s="550">
        <v>2263.1875</v>
      </c>
      <c r="H693" s="550">
        <v>11370.320000000002</v>
      </c>
      <c r="I693" s="550">
        <v>6714.6406610400009</v>
      </c>
      <c r="J693" s="550">
        <v>14991.50952</v>
      </c>
      <c r="K693" s="550">
        <v>753377.46378103993</v>
      </c>
      <c r="L693" s="550">
        <v>113006.61956715598</v>
      </c>
      <c r="M693" s="550">
        <v>866384.08334819588</v>
      </c>
      <c r="N693" s="551">
        <v>90836.202307692321</v>
      </c>
    </row>
    <row r="694" spans="1:14" ht="39.950000000000003" customHeight="1">
      <c r="A694" s="546" t="s">
        <v>296</v>
      </c>
      <c r="B694" s="559" t="s">
        <v>297</v>
      </c>
      <c r="C694" s="548" t="s">
        <v>53</v>
      </c>
      <c r="D694" s="548">
        <v>0</v>
      </c>
      <c r="E694" s="550">
        <v>718037.80610000005</v>
      </c>
      <c r="F694" s="550">
        <v>0</v>
      </c>
      <c r="G694" s="550">
        <v>1674.75875</v>
      </c>
      <c r="H694" s="550">
        <v>11370.320000000002</v>
      </c>
      <c r="I694" s="550">
        <v>6714.6406610400009</v>
      </c>
      <c r="J694" s="550">
        <v>14991.50952</v>
      </c>
      <c r="K694" s="550">
        <v>752789.03503103997</v>
      </c>
      <c r="L694" s="550">
        <v>112918.35525465599</v>
      </c>
      <c r="M694" s="550">
        <v>865707.3902856959</v>
      </c>
      <c r="N694" s="551">
        <v>90836.202307692321</v>
      </c>
    </row>
    <row r="695" spans="1:14" ht="39.950000000000003" customHeight="1">
      <c r="A695" s="546" t="s">
        <v>298</v>
      </c>
      <c r="B695" s="559" t="s">
        <v>299</v>
      </c>
      <c r="C695" s="548" t="s">
        <v>53</v>
      </c>
      <c r="D695" s="548">
        <v>0</v>
      </c>
      <c r="E695" s="550">
        <v>644246.77550000011</v>
      </c>
      <c r="F695" s="550">
        <v>0</v>
      </c>
      <c r="G695" s="550">
        <v>149.37037500000002</v>
      </c>
      <c r="H695" s="550">
        <v>11370.320000000002</v>
      </c>
      <c r="I695" s="550">
        <v>6714.6406610400009</v>
      </c>
      <c r="J695" s="550">
        <v>14991.50952</v>
      </c>
      <c r="K695" s="550">
        <v>677472.61605604005</v>
      </c>
      <c r="L695" s="550">
        <v>101620.892408406</v>
      </c>
      <c r="M695" s="550">
        <v>779093.50846444606</v>
      </c>
      <c r="N695" s="551">
        <v>83373.973846153851</v>
      </c>
    </row>
    <row r="696" spans="1:14" ht="80.099999999999994" customHeight="1">
      <c r="A696" s="546" t="s">
        <v>300</v>
      </c>
      <c r="B696" s="559" t="s">
        <v>301</v>
      </c>
      <c r="C696" s="548" t="s">
        <v>53</v>
      </c>
      <c r="D696" s="548">
        <v>0</v>
      </c>
      <c r="E696" s="550">
        <v>718037.80610000005</v>
      </c>
      <c r="F696" s="550">
        <v>0</v>
      </c>
      <c r="G696" s="550">
        <v>0</v>
      </c>
      <c r="H696" s="550">
        <v>11370.320000000002</v>
      </c>
      <c r="I696" s="550">
        <v>6714.6406610400009</v>
      </c>
      <c r="J696" s="550">
        <v>14991.50952</v>
      </c>
      <c r="K696" s="550">
        <v>751114.27628103993</v>
      </c>
      <c r="L696" s="550">
        <v>112667.14144215599</v>
      </c>
      <c r="M696" s="550">
        <v>863781.41772319586</v>
      </c>
      <c r="N696" s="551">
        <v>90836.202307692321</v>
      </c>
    </row>
    <row r="697" spans="1:14" ht="39.950000000000003" customHeight="1">
      <c r="A697" s="546" t="s">
        <v>302</v>
      </c>
      <c r="B697" s="559" t="s">
        <v>303</v>
      </c>
      <c r="C697" s="548" t="s">
        <v>53</v>
      </c>
      <c r="D697" s="548">
        <v>0</v>
      </c>
      <c r="E697" s="550">
        <v>658153.0904000001</v>
      </c>
      <c r="F697" s="550">
        <v>0</v>
      </c>
      <c r="G697" s="550">
        <v>0</v>
      </c>
      <c r="H697" s="550">
        <v>11370.320000000002</v>
      </c>
      <c r="I697" s="550">
        <v>6714.6406610400009</v>
      </c>
      <c r="J697" s="550">
        <v>14991.50952</v>
      </c>
      <c r="K697" s="550">
        <v>691229.56058103999</v>
      </c>
      <c r="L697" s="550">
        <v>103684.434087156</v>
      </c>
      <c r="M697" s="550">
        <v>794913.99466819596</v>
      </c>
      <c r="N697" s="551">
        <v>84641.899615384624</v>
      </c>
    </row>
    <row r="698" spans="1:14" ht="39.950000000000003" customHeight="1">
      <c r="A698" s="546" t="s">
        <v>304</v>
      </c>
      <c r="B698" s="559" t="s">
        <v>305</v>
      </c>
      <c r="C698" s="548" t="s">
        <v>53</v>
      </c>
      <c r="D698" s="548">
        <v>0</v>
      </c>
      <c r="E698" s="550">
        <v>731908.53338000004</v>
      </c>
      <c r="F698" s="550">
        <v>0</v>
      </c>
      <c r="G698" s="550">
        <v>72.421999999999997</v>
      </c>
      <c r="H698" s="550">
        <v>11370.320000000002</v>
      </c>
      <c r="I698" s="550">
        <v>6714.6406610400009</v>
      </c>
      <c r="J698" s="550">
        <v>14991.50952</v>
      </c>
      <c r="K698" s="550">
        <v>765057.42556103994</v>
      </c>
      <c r="L698" s="550">
        <v>114758.61383415599</v>
      </c>
      <c r="M698" s="550">
        <v>879816.0393951959</v>
      </c>
      <c r="N698" s="551">
        <v>91928.170000000013</v>
      </c>
    </row>
    <row r="699" spans="1:14" ht="39.950000000000003" customHeight="1">
      <c r="A699" s="546" t="s">
        <v>306</v>
      </c>
      <c r="B699" s="559" t="s">
        <v>307</v>
      </c>
      <c r="C699" s="548" t="s">
        <v>53</v>
      </c>
      <c r="D699" s="548">
        <v>0</v>
      </c>
      <c r="E699" s="550">
        <v>710717.0104400001</v>
      </c>
      <c r="F699" s="550">
        <v>0</v>
      </c>
      <c r="G699" s="550">
        <v>36.210999999999999</v>
      </c>
      <c r="H699" s="550">
        <v>11370.320000000002</v>
      </c>
      <c r="I699" s="550">
        <v>6714.6406610400009</v>
      </c>
      <c r="J699" s="550">
        <v>14991.50952</v>
      </c>
      <c r="K699" s="550">
        <v>743829.69162103999</v>
      </c>
      <c r="L699" s="550">
        <v>111574.453743156</v>
      </c>
      <c r="M699" s="550">
        <v>855404.14536419604</v>
      </c>
      <c r="N699" s="551">
        <v>90297.546538461553</v>
      </c>
    </row>
    <row r="700" spans="1:14" ht="110.1" customHeight="1">
      <c r="A700" s="546" t="s">
        <v>308</v>
      </c>
      <c r="B700" s="559" t="s">
        <v>309</v>
      </c>
      <c r="C700" s="548" t="s">
        <v>53</v>
      </c>
      <c r="D700" s="548">
        <v>0</v>
      </c>
      <c r="E700" s="550">
        <v>716113.66190000006</v>
      </c>
      <c r="F700" s="550">
        <v>0</v>
      </c>
      <c r="G700" s="550">
        <v>18.105499999999999</v>
      </c>
      <c r="H700" s="550">
        <v>11370.320000000002</v>
      </c>
      <c r="I700" s="550">
        <v>6714.6406610400009</v>
      </c>
      <c r="J700" s="550">
        <v>14991.50952</v>
      </c>
      <c r="K700" s="550">
        <v>749208.2375810399</v>
      </c>
      <c r="L700" s="550">
        <v>112381.23563715599</v>
      </c>
      <c r="M700" s="550">
        <v>861589.47321819584</v>
      </c>
      <c r="N700" s="551">
        <v>90689.809230769242</v>
      </c>
    </row>
    <row r="701" spans="1:14" ht="39.950000000000003" customHeight="1">
      <c r="A701" s="546" t="s">
        <v>310</v>
      </c>
      <c r="B701" s="559" t="s">
        <v>311</v>
      </c>
      <c r="C701" s="548" t="s">
        <v>53</v>
      </c>
      <c r="D701" s="548">
        <v>0</v>
      </c>
      <c r="E701" s="550">
        <v>738941.00900000008</v>
      </c>
      <c r="F701" s="550">
        <v>0</v>
      </c>
      <c r="G701" s="550">
        <v>45.263750000000002</v>
      </c>
      <c r="H701" s="550">
        <v>11370.320000000002</v>
      </c>
      <c r="I701" s="550">
        <v>6714.6406610400009</v>
      </c>
      <c r="J701" s="550">
        <v>14991.50952</v>
      </c>
      <c r="K701" s="550">
        <v>772062.74293104</v>
      </c>
      <c r="L701" s="550">
        <v>115809.411439656</v>
      </c>
      <c r="M701" s="550">
        <v>887872.15437069605</v>
      </c>
      <c r="N701" s="551">
        <v>92426.563461538477</v>
      </c>
    </row>
    <row r="702" spans="1:14" ht="39.950000000000003" customHeight="1">
      <c r="A702" s="546" t="s">
        <v>312</v>
      </c>
      <c r="B702" s="559" t="s">
        <v>313</v>
      </c>
      <c r="C702" s="548" t="s">
        <v>53</v>
      </c>
      <c r="D702" s="548">
        <v>0</v>
      </c>
      <c r="E702" s="550">
        <v>664800.13400000008</v>
      </c>
      <c r="F702" s="550">
        <v>0</v>
      </c>
      <c r="G702" s="550">
        <v>0</v>
      </c>
      <c r="H702" s="550">
        <v>11370.320000000002</v>
      </c>
      <c r="I702" s="550">
        <v>6714.6406610400009</v>
      </c>
      <c r="J702" s="550">
        <v>14991.50952</v>
      </c>
      <c r="K702" s="550">
        <v>697876.60418103996</v>
      </c>
      <c r="L702" s="550">
        <v>104681.49062715599</v>
      </c>
      <c r="M702" s="550">
        <v>802558.09480819595</v>
      </c>
      <c r="N702" s="551">
        <v>85147.621153846165</v>
      </c>
    </row>
    <row r="703" spans="1:14" ht="39.950000000000003" customHeight="1">
      <c r="A703" s="546" t="s">
        <v>314</v>
      </c>
      <c r="B703" s="559" t="s">
        <v>315</v>
      </c>
      <c r="C703" s="548" t="s">
        <v>53</v>
      </c>
      <c r="D703" s="548">
        <v>0</v>
      </c>
      <c r="E703" s="550">
        <v>648619.83050000004</v>
      </c>
      <c r="F703" s="550">
        <v>0</v>
      </c>
      <c r="G703" s="550">
        <v>1357.9125000000001</v>
      </c>
      <c r="H703" s="550">
        <v>11370.320000000002</v>
      </c>
      <c r="I703" s="550">
        <v>6714.6406610400009</v>
      </c>
      <c r="J703" s="550">
        <v>14991.50952</v>
      </c>
      <c r="K703" s="550">
        <v>683054.2131810399</v>
      </c>
      <c r="L703" s="550">
        <v>102458.13197715598</v>
      </c>
      <c r="M703" s="550">
        <v>785512.34515819582</v>
      </c>
      <c r="N703" s="551">
        <v>83916.588461538471</v>
      </c>
    </row>
    <row r="704" spans="1:14" ht="30" customHeight="1">
      <c r="A704" s="546" t="s">
        <v>316</v>
      </c>
      <c r="B704" s="559" t="s">
        <v>317</v>
      </c>
      <c r="C704" s="548" t="s">
        <v>53</v>
      </c>
      <c r="D704" s="548">
        <v>0</v>
      </c>
      <c r="E704" s="550">
        <v>222636.52012</v>
      </c>
      <c r="F704" s="550">
        <v>0</v>
      </c>
      <c r="G704" s="550">
        <v>0</v>
      </c>
      <c r="H704" s="550">
        <v>11370.320000000002</v>
      </c>
      <c r="I704" s="550">
        <v>6714.6406610400009</v>
      </c>
      <c r="J704" s="550">
        <v>14991.50952</v>
      </c>
      <c r="K704" s="550">
        <v>255712.99030104</v>
      </c>
      <c r="L704" s="550">
        <v>38356.948545155996</v>
      </c>
      <c r="M704" s="550">
        <v>294069.93884619599</v>
      </c>
      <c r="N704" s="551">
        <v>26862.764615384618</v>
      </c>
    </row>
    <row r="705" spans="1:14" ht="30" customHeight="1">
      <c r="A705" s="546" t="s">
        <v>318</v>
      </c>
      <c r="B705" s="559" t="s">
        <v>319</v>
      </c>
      <c r="C705" s="548" t="s">
        <v>53</v>
      </c>
      <c r="D705" s="548">
        <v>0</v>
      </c>
      <c r="E705" s="550">
        <v>717455.7374000001</v>
      </c>
      <c r="F705" s="550">
        <v>0</v>
      </c>
      <c r="G705" s="550">
        <v>452.63750000000005</v>
      </c>
      <c r="H705" s="550">
        <v>11370.320000000002</v>
      </c>
      <c r="I705" s="550">
        <v>6714.6406610400009</v>
      </c>
      <c r="J705" s="550">
        <v>14991.50952</v>
      </c>
      <c r="K705" s="550">
        <v>750984.84508103994</v>
      </c>
      <c r="L705" s="550">
        <v>112647.72676215599</v>
      </c>
      <c r="M705" s="550">
        <v>863632.57184319594</v>
      </c>
      <c r="N705" s="551">
        <v>90816.071153846176</v>
      </c>
    </row>
    <row r="706" spans="1:14" s="530" customFormat="1" ht="24.95" customHeight="1">
      <c r="A706" s="587" t="str">
        <f>NCong!A475</f>
        <v>VIII</v>
      </c>
      <c r="B706" s="1831" t="str">
        <f>NCong!B475</f>
        <v xml:space="preserve">Đăng ký biến động đất đai đối với tổ chức, tổ chức tôn giáo, tổ chức tôn giáo trực thuộc, tổ chức nước ngoài có chức năng ngoại giao, tổ chức kinh tế có vốn đầu tư nước ngoài, tổ chức nước ngoài, cá nhân nước ngoài </v>
      </c>
      <c r="C706" s="1831"/>
      <c r="D706" s="1831"/>
      <c r="E706" s="1831"/>
      <c r="F706" s="1831"/>
      <c r="G706" s="1831"/>
      <c r="H706" s="1831"/>
      <c r="I706" s="1831"/>
      <c r="J706" s="1831"/>
      <c r="K706" s="1831"/>
      <c r="L706" s="1831"/>
      <c r="M706" s="1831"/>
      <c r="N706" s="1841"/>
    </row>
    <row r="707" spans="1:14" s="530" customFormat="1" ht="35.1" customHeight="1">
      <c r="A707" s="587"/>
      <c r="B707" s="1837" t="s">
        <v>516</v>
      </c>
      <c r="C707" s="1837"/>
      <c r="D707" s="1837"/>
      <c r="E707" s="1837"/>
      <c r="F707" s="1837"/>
      <c r="G707" s="1837"/>
      <c r="H707" s="1837"/>
      <c r="I707" s="1837"/>
      <c r="J707" s="1837"/>
      <c r="K707" s="1837"/>
      <c r="L707" s="1837"/>
      <c r="M707" s="1837"/>
      <c r="N707" s="1838"/>
    </row>
    <row r="708" spans="1:14" s="530" customFormat="1" ht="35.1" customHeight="1">
      <c r="A708" s="587"/>
      <c r="B708" s="588"/>
      <c r="C708" s="588" t="s">
        <v>53</v>
      </c>
      <c r="D708" s="588" t="s">
        <v>32</v>
      </c>
      <c r="E708" s="537" t="e">
        <f t="shared" ref="E708:J708" si="90">E709+E710+E711</f>
        <v>#REF!</v>
      </c>
      <c r="F708" s="537">
        <f t="shared" si="90"/>
        <v>0</v>
      </c>
      <c r="G708" s="537">
        <f t="shared" si="90"/>
        <v>17595.951229692309</v>
      </c>
      <c r="H708" s="537">
        <f t="shared" si="90"/>
        <v>18337</v>
      </c>
      <c r="I708" s="537">
        <f t="shared" si="90"/>
        <v>20820.4728</v>
      </c>
      <c r="J708" s="537">
        <f t="shared" si="90"/>
        <v>30241.982725500002</v>
      </c>
      <c r="K708" s="537" t="e">
        <f>SUM(E708:J708)</f>
        <v>#REF!</v>
      </c>
      <c r="L708" s="537" t="e">
        <f>$L$4*K708</f>
        <v>#REF!</v>
      </c>
      <c r="M708" s="537" t="e">
        <f>K708+L708</f>
        <v>#REF!</v>
      </c>
      <c r="N708" s="538" t="e">
        <f>N709+N710+N711</f>
        <v>#REF!</v>
      </c>
    </row>
    <row r="709" spans="1:14" s="544" customFormat="1" ht="35.1" customHeight="1">
      <c r="A709" s="539" t="str">
        <f>NCong!A476</f>
        <v>VIII.1</v>
      </c>
      <c r="B709" s="545" t="str">
        <f>NCong!B476</f>
        <v>CÁC NỘI DUNG THỰC HIỆN TẠI ĐỊA BÀN CẤP TỈNH</v>
      </c>
      <c r="C709" s="540" t="s">
        <v>53</v>
      </c>
      <c r="D709" s="541">
        <f>NCong!E476</f>
        <v>0</v>
      </c>
      <c r="E709" s="542">
        <f>NCong!K476</f>
        <v>2534606.8019999997</v>
      </c>
      <c r="F709" s="542"/>
      <c r="G709" s="542">
        <f>Dcu!L229</f>
        <v>17506.401785653848</v>
      </c>
      <c r="H709" s="542">
        <f>VLieu!J176</f>
        <v>18337</v>
      </c>
      <c r="I709" s="542">
        <f>Tbi!I149</f>
        <v>20820.4728</v>
      </c>
      <c r="J709" s="542">
        <f>Tbi!I156+Dcu!L228</f>
        <v>30208.921743000003</v>
      </c>
      <c r="K709" s="542">
        <f>SUM(E709:J709)</f>
        <v>2621479.5983286537</v>
      </c>
      <c r="L709" s="542">
        <f>$L$4*K709</f>
        <v>393221.93974929804</v>
      </c>
      <c r="M709" s="542">
        <f>K709+L709</f>
        <v>3014701.5380779519</v>
      </c>
      <c r="N709" s="543">
        <f>NCong!N476</f>
        <v>162181.18799999999</v>
      </c>
    </row>
    <row r="710" spans="1:14" s="544" customFormat="1" ht="35.1" customHeight="1">
      <c r="A710" s="539" t="e">
        <f>NCong!#REF!</f>
        <v>#REF!</v>
      </c>
      <c r="B710" s="545" t="e">
        <f>NCong!#REF!</f>
        <v>#REF!</v>
      </c>
      <c r="C710" s="540" t="s">
        <v>53</v>
      </c>
      <c r="D710" s="541" t="e">
        <f>NCong!#REF!</f>
        <v>#REF!</v>
      </c>
      <c r="E710" s="542" t="e">
        <f>NCong!#REF!</f>
        <v>#REF!</v>
      </c>
      <c r="F710" s="542"/>
      <c r="G710" s="542">
        <f>Dcu!K229</f>
        <v>0</v>
      </c>
      <c r="H710" s="542">
        <f>VLieu!I176</f>
        <v>0</v>
      </c>
      <c r="I710" s="542"/>
      <c r="J710" s="542"/>
      <c r="K710" s="542" t="e">
        <f>SUM(E710:J710)</f>
        <v>#REF!</v>
      </c>
      <c r="L710" s="542" t="e">
        <f>$L$4*K710</f>
        <v>#REF!</v>
      </c>
      <c r="M710" s="542" t="e">
        <f>K710+L710</f>
        <v>#REF!</v>
      </c>
      <c r="N710" s="543" t="e">
        <f>NCong!#REF!</f>
        <v>#REF!</v>
      </c>
    </row>
    <row r="711" spans="1:14" s="544" customFormat="1" ht="35.1" customHeight="1">
      <c r="A711" s="539" t="str">
        <f>NCong!A518</f>
        <v>VIII.3</v>
      </c>
      <c r="B711" s="545" t="str">
        <f>NCong!B518</f>
        <v>CÁC NỘI DUNG THỰC HIỆN TẠI ĐỊA BÀN XÃ, PHƯỜNG,ĐẶC KHU</v>
      </c>
      <c r="C711" s="540" t="s">
        <v>53</v>
      </c>
      <c r="D711" s="541">
        <f>NCong!E518</f>
        <v>0</v>
      </c>
      <c r="E711" s="542">
        <f>NCong!K518</f>
        <v>75759.840000000011</v>
      </c>
      <c r="F711" s="542"/>
      <c r="G711" s="542">
        <f>Dcu!J229</f>
        <v>89.549444038461559</v>
      </c>
      <c r="H711" s="542">
        <f>VLieu!H176</f>
        <v>0</v>
      </c>
      <c r="I711" s="542"/>
      <c r="J711" s="542">
        <f>Dcu!J228</f>
        <v>33.060982500000001</v>
      </c>
      <c r="K711" s="542">
        <f>SUM(E711:J711)</f>
        <v>75882.450426538475</v>
      </c>
      <c r="L711" s="542">
        <f>$L$4*K711</f>
        <v>11382.367563980772</v>
      </c>
      <c r="M711" s="542">
        <f>K711+L711</f>
        <v>87264.817990519252</v>
      </c>
      <c r="N711" s="543">
        <f>NCong!N518</f>
        <v>6646.77</v>
      </c>
    </row>
    <row r="712" spans="1:14" s="544" customFormat="1" ht="35.1" customHeight="1">
      <c r="A712" s="539" t="str">
        <f>NCong!A522</f>
        <v>VIII.4</v>
      </c>
      <c r="B712" s="545" t="str">
        <f>NCong!B522</f>
        <v>GHI CHÚ</v>
      </c>
      <c r="C712" s="540">
        <f>NCong!C522</f>
        <v>0</v>
      </c>
      <c r="D712" s="540">
        <f>NCong!E522</f>
        <v>0</v>
      </c>
      <c r="E712" s="542"/>
      <c r="F712" s="542"/>
      <c r="G712" s="542"/>
      <c r="H712" s="542"/>
      <c r="I712" s="542"/>
      <c r="J712" s="542"/>
      <c r="K712" s="542"/>
      <c r="L712" s="542"/>
      <c r="M712" s="542"/>
      <c r="N712" s="543"/>
    </row>
    <row r="713" spans="1:14" s="534" customFormat="1" ht="80.099999999999994" customHeight="1">
      <c r="A713" s="578" t="str">
        <f>NCong!A523</f>
        <v>1</v>
      </c>
      <c r="B713" s="1839" t="str">
        <f>NCong!B523</f>
        <v>Cột “ĐM Đất” áp dụng cho trường hợp đăng ký, cấp GCN đối với đất; cột “ĐM TS” áp dụng cho trường hợp đăng ký, cấp GCN đối với tài sản; cột “ĐM Đất + TS” áp dụng đối với trường hợp đăng ký, cấp GCN đối với cả đất và tài sản gắn liền với đất</v>
      </c>
      <c r="C713" s="1839">
        <f>NCong!C523</f>
        <v>0</v>
      </c>
      <c r="D713" s="1839">
        <f>NCong!E523</f>
        <v>0</v>
      </c>
      <c r="E713" s="570"/>
      <c r="F713" s="570"/>
      <c r="G713" s="570"/>
      <c r="H713" s="570"/>
      <c r="I713" s="570"/>
      <c r="J713" s="570"/>
      <c r="K713" s="570"/>
      <c r="L713" s="570"/>
      <c r="M713" s="570"/>
      <c r="N713" s="571"/>
    </row>
    <row r="714" spans="1:14" s="534" customFormat="1" ht="69.95" customHeight="1">
      <c r="A714" s="578" t="str">
        <f>NCong!A524</f>
        <v>2</v>
      </c>
      <c r="B714" s="1839" t="str">
        <f>NCong!B524</f>
        <v>Các trường hợp đăng ký biến động đất đai mà thực hiện cấp mới GCN hoặc xác nhận thay đổi trên Giấy chứng nhận thì đều áp dụng định mức của Bảng này</v>
      </c>
      <c r="C714" s="1839">
        <f>NCong!C524</f>
        <v>0</v>
      </c>
      <c r="D714" s="1839">
        <f>NCong!E524</f>
        <v>0</v>
      </c>
      <c r="E714" s="570"/>
      <c r="F714" s="570"/>
      <c r="G714" s="570"/>
      <c r="H714" s="570"/>
      <c r="I714" s="570"/>
      <c r="J714" s="570"/>
      <c r="K714" s="570"/>
      <c r="L714" s="570"/>
      <c r="M714" s="570"/>
      <c r="N714" s="571"/>
    </row>
    <row r="715" spans="1:14" ht="50.1" customHeight="1">
      <c r="A715" s="546" t="e">
        <f>NCong!#REF!</f>
        <v>#REF!</v>
      </c>
      <c r="B715" s="559" t="e">
        <f>NCong!#REF!</f>
        <v>#REF!</v>
      </c>
      <c r="C715" s="548" t="s">
        <v>53</v>
      </c>
      <c r="D715" s="548"/>
      <c r="E715" s="550" t="e">
        <f>NCong!#REF!</f>
        <v>#REF!</v>
      </c>
      <c r="F715" s="550"/>
      <c r="G715" s="550">
        <f>G$708*0.6</f>
        <v>10557.570737815386</v>
      </c>
      <c r="H715" s="550">
        <f t="shared" ref="H715:J730" si="91">H$708*0.6</f>
        <v>11002.199999999999</v>
      </c>
      <c r="I715" s="550">
        <f t="shared" si="91"/>
        <v>12492.283679999999</v>
      </c>
      <c r="J715" s="550">
        <f t="shared" si="91"/>
        <v>18145.189635300001</v>
      </c>
      <c r="K715" s="550" t="e">
        <f>SUM(E715:J715)</f>
        <v>#REF!</v>
      </c>
      <c r="L715" s="550" t="e">
        <f t="shared" ref="L715:L740" si="92">$L$4*K715</f>
        <v>#REF!</v>
      </c>
      <c r="M715" s="550" t="e">
        <f>K715+L715</f>
        <v>#REF!</v>
      </c>
      <c r="N715" s="551" t="e">
        <f>NCong!#REF!</f>
        <v>#REF!</v>
      </c>
    </row>
    <row r="716" spans="1:14" ht="50.1" customHeight="1">
      <c r="A716" s="546" t="e">
        <f>NCong!#REF!</f>
        <v>#REF!</v>
      </c>
      <c r="B716" s="559" t="e">
        <f>NCong!#REF!</f>
        <v>#REF!</v>
      </c>
      <c r="C716" s="548" t="s">
        <v>53</v>
      </c>
      <c r="D716" s="548"/>
      <c r="E716" s="550" t="e">
        <f>NCong!#REF!</f>
        <v>#REF!</v>
      </c>
      <c r="F716" s="550"/>
      <c r="G716" s="550">
        <f t="shared" ref="G716:J740" si="93">G$708*0.6</f>
        <v>10557.570737815386</v>
      </c>
      <c r="H716" s="550">
        <f t="shared" si="91"/>
        <v>11002.199999999999</v>
      </c>
      <c r="I716" s="550">
        <f t="shared" si="91"/>
        <v>12492.283679999999</v>
      </c>
      <c r="J716" s="550">
        <f t="shared" si="91"/>
        <v>18145.189635300001</v>
      </c>
      <c r="K716" s="550" t="e">
        <f t="shared" ref="K716:K740" si="94">SUM(E716:J716)</f>
        <v>#REF!</v>
      </c>
      <c r="L716" s="550" t="e">
        <f t="shared" si="92"/>
        <v>#REF!</v>
      </c>
      <c r="M716" s="550" t="e">
        <f t="shared" ref="M716:M740" si="95">K716+L716</f>
        <v>#REF!</v>
      </c>
      <c r="N716" s="551" t="e">
        <f>NCong!#REF!</f>
        <v>#REF!</v>
      </c>
    </row>
    <row r="717" spans="1:14" ht="39.950000000000003" customHeight="1">
      <c r="A717" s="546" t="e">
        <f>NCong!#REF!</f>
        <v>#REF!</v>
      </c>
      <c r="B717" s="559" t="e">
        <f>NCong!#REF!</f>
        <v>#REF!</v>
      </c>
      <c r="C717" s="548" t="s">
        <v>53</v>
      </c>
      <c r="D717" s="548"/>
      <c r="E717" s="550" t="e">
        <f>NCong!#REF!</f>
        <v>#REF!</v>
      </c>
      <c r="F717" s="550"/>
      <c r="G717" s="550">
        <f t="shared" si="93"/>
        <v>10557.570737815386</v>
      </c>
      <c r="H717" s="550">
        <f t="shared" si="91"/>
        <v>11002.199999999999</v>
      </c>
      <c r="I717" s="550">
        <f t="shared" si="91"/>
        <v>12492.283679999999</v>
      </c>
      <c r="J717" s="550">
        <f t="shared" si="91"/>
        <v>18145.189635300001</v>
      </c>
      <c r="K717" s="550" t="e">
        <f t="shared" si="94"/>
        <v>#REF!</v>
      </c>
      <c r="L717" s="550" t="e">
        <f t="shared" si="92"/>
        <v>#REF!</v>
      </c>
      <c r="M717" s="550" t="e">
        <f t="shared" si="95"/>
        <v>#REF!</v>
      </c>
      <c r="N717" s="551" t="e">
        <f>NCong!#REF!</f>
        <v>#REF!</v>
      </c>
    </row>
    <row r="718" spans="1:14" ht="39.950000000000003" customHeight="1">
      <c r="A718" s="546" t="e">
        <f>NCong!#REF!</f>
        <v>#REF!</v>
      </c>
      <c r="B718" s="559" t="e">
        <f>NCong!#REF!</f>
        <v>#REF!</v>
      </c>
      <c r="C718" s="548" t="s">
        <v>53</v>
      </c>
      <c r="D718" s="548"/>
      <c r="E718" s="550" t="e">
        <f>NCong!#REF!</f>
        <v>#REF!</v>
      </c>
      <c r="F718" s="550"/>
      <c r="G718" s="550">
        <f t="shared" si="93"/>
        <v>10557.570737815386</v>
      </c>
      <c r="H718" s="550">
        <f t="shared" si="91"/>
        <v>11002.199999999999</v>
      </c>
      <c r="I718" s="550">
        <f t="shared" si="91"/>
        <v>12492.283679999999</v>
      </c>
      <c r="J718" s="550">
        <f t="shared" si="91"/>
        <v>18145.189635300001</v>
      </c>
      <c r="K718" s="550" t="e">
        <f t="shared" si="94"/>
        <v>#REF!</v>
      </c>
      <c r="L718" s="550" t="e">
        <f t="shared" si="92"/>
        <v>#REF!</v>
      </c>
      <c r="M718" s="550" t="e">
        <f t="shared" si="95"/>
        <v>#REF!</v>
      </c>
      <c r="N718" s="551" t="e">
        <f>NCong!#REF!</f>
        <v>#REF!</v>
      </c>
    </row>
    <row r="719" spans="1:14" ht="50.1" customHeight="1">
      <c r="A719" s="546" t="e">
        <f>NCong!#REF!</f>
        <v>#REF!</v>
      </c>
      <c r="B719" s="559" t="e">
        <f>NCong!#REF!</f>
        <v>#REF!</v>
      </c>
      <c r="C719" s="548" t="s">
        <v>53</v>
      </c>
      <c r="D719" s="548"/>
      <c r="E719" s="550" t="e">
        <f>NCong!#REF!</f>
        <v>#REF!</v>
      </c>
      <c r="F719" s="550"/>
      <c r="G719" s="550">
        <f t="shared" si="93"/>
        <v>10557.570737815386</v>
      </c>
      <c r="H719" s="550">
        <f t="shared" si="91"/>
        <v>11002.199999999999</v>
      </c>
      <c r="I719" s="550">
        <f t="shared" si="91"/>
        <v>12492.283679999999</v>
      </c>
      <c r="J719" s="550">
        <f t="shared" si="91"/>
        <v>18145.189635300001</v>
      </c>
      <c r="K719" s="550" t="e">
        <f t="shared" si="94"/>
        <v>#REF!</v>
      </c>
      <c r="L719" s="550" t="e">
        <f t="shared" si="92"/>
        <v>#REF!</v>
      </c>
      <c r="M719" s="550" t="e">
        <f t="shared" si="95"/>
        <v>#REF!</v>
      </c>
      <c r="N719" s="551" t="e">
        <f>NCong!#REF!</f>
        <v>#REF!</v>
      </c>
    </row>
    <row r="720" spans="1:14" ht="80.099999999999994" customHeight="1">
      <c r="A720" s="546" t="e">
        <f>NCong!#REF!</f>
        <v>#REF!</v>
      </c>
      <c r="B720" s="559" t="e">
        <f>NCong!#REF!</f>
        <v>#REF!</v>
      </c>
      <c r="C720" s="548" t="s">
        <v>53</v>
      </c>
      <c r="D720" s="548"/>
      <c r="E720" s="550" t="e">
        <f>NCong!#REF!</f>
        <v>#REF!</v>
      </c>
      <c r="F720" s="550"/>
      <c r="G720" s="550">
        <f t="shared" si="93"/>
        <v>10557.570737815386</v>
      </c>
      <c r="H720" s="550">
        <f t="shared" si="91"/>
        <v>11002.199999999999</v>
      </c>
      <c r="I720" s="550">
        <f t="shared" si="91"/>
        <v>12492.283679999999</v>
      </c>
      <c r="J720" s="550">
        <f t="shared" si="91"/>
        <v>18145.189635300001</v>
      </c>
      <c r="K720" s="550" t="e">
        <f t="shared" si="94"/>
        <v>#REF!</v>
      </c>
      <c r="L720" s="550" t="e">
        <f t="shared" si="92"/>
        <v>#REF!</v>
      </c>
      <c r="M720" s="550" t="e">
        <f t="shared" si="95"/>
        <v>#REF!</v>
      </c>
      <c r="N720" s="551" t="e">
        <f>NCong!#REF!</f>
        <v>#REF!</v>
      </c>
    </row>
    <row r="721" spans="1:14" ht="50.1" customHeight="1">
      <c r="A721" s="546" t="e">
        <f>NCong!#REF!</f>
        <v>#REF!</v>
      </c>
      <c r="B721" s="559" t="e">
        <f>NCong!#REF!</f>
        <v>#REF!</v>
      </c>
      <c r="C721" s="548" t="s">
        <v>53</v>
      </c>
      <c r="D721" s="548"/>
      <c r="E721" s="550" t="e">
        <f>NCong!#REF!</f>
        <v>#REF!</v>
      </c>
      <c r="F721" s="550"/>
      <c r="G721" s="550">
        <f t="shared" si="93"/>
        <v>10557.570737815386</v>
      </c>
      <c r="H721" s="550">
        <f t="shared" si="91"/>
        <v>11002.199999999999</v>
      </c>
      <c r="I721" s="550">
        <f t="shared" si="91"/>
        <v>12492.283679999999</v>
      </c>
      <c r="J721" s="550">
        <f t="shared" si="91"/>
        <v>18145.189635300001</v>
      </c>
      <c r="K721" s="550" t="e">
        <f t="shared" si="94"/>
        <v>#REF!</v>
      </c>
      <c r="L721" s="550" t="e">
        <f t="shared" si="92"/>
        <v>#REF!</v>
      </c>
      <c r="M721" s="550" t="e">
        <f t="shared" si="95"/>
        <v>#REF!</v>
      </c>
      <c r="N721" s="551" t="e">
        <f>NCong!#REF!</f>
        <v>#REF!</v>
      </c>
    </row>
    <row r="722" spans="1:14" ht="50.1" customHeight="1">
      <c r="A722" s="546" t="e">
        <f>NCong!#REF!</f>
        <v>#REF!</v>
      </c>
      <c r="B722" s="559" t="e">
        <f>NCong!#REF!</f>
        <v>#REF!</v>
      </c>
      <c r="C722" s="548" t="s">
        <v>53</v>
      </c>
      <c r="D722" s="548"/>
      <c r="E722" s="550" t="e">
        <f>NCong!#REF!</f>
        <v>#REF!</v>
      </c>
      <c r="F722" s="550"/>
      <c r="G722" s="550">
        <f t="shared" si="93"/>
        <v>10557.570737815386</v>
      </c>
      <c r="H722" s="550">
        <f t="shared" si="91"/>
        <v>11002.199999999999</v>
      </c>
      <c r="I722" s="550">
        <f t="shared" si="91"/>
        <v>12492.283679999999</v>
      </c>
      <c r="J722" s="550">
        <f t="shared" si="91"/>
        <v>18145.189635300001</v>
      </c>
      <c r="K722" s="550" t="e">
        <f t="shared" si="94"/>
        <v>#REF!</v>
      </c>
      <c r="L722" s="550" t="e">
        <f t="shared" si="92"/>
        <v>#REF!</v>
      </c>
      <c r="M722" s="550" t="e">
        <f t="shared" si="95"/>
        <v>#REF!</v>
      </c>
      <c r="N722" s="551" t="e">
        <f>NCong!#REF!</f>
        <v>#REF!</v>
      </c>
    </row>
    <row r="723" spans="1:14" ht="39.950000000000003" customHeight="1">
      <c r="A723" s="546" t="e">
        <f>NCong!#REF!</f>
        <v>#REF!</v>
      </c>
      <c r="B723" s="559" t="e">
        <f>NCong!#REF!</f>
        <v>#REF!</v>
      </c>
      <c r="C723" s="548" t="s">
        <v>53</v>
      </c>
      <c r="D723" s="548"/>
      <c r="E723" s="550" t="e">
        <f>NCong!#REF!</f>
        <v>#REF!</v>
      </c>
      <c r="F723" s="550"/>
      <c r="G723" s="550">
        <f t="shared" si="93"/>
        <v>10557.570737815386</v>
      </c>
      <c r="H723" s="550">
        <f t="shared" si="91"/>
        <v>11002.199999999999</v>
      </c>
      <c r="I723" s="550">
        <f t="shared" si="91"/>
        <v>12492.283679999999</v>
      </c>
      <c r="J723" s="550">
        <f t="shared" si="91"/>
        <v>18145.189635300001</v>
      </c>
      <c r="K723" s="550" t="e">
        <f t="shared" si="94"/>
        <v>#REF!</v>
      </c>
      <c r="L723" s="550" t="e">
        <f t="shared" si="92"/>
        <v>#REF!</v>
      </c>
      <c r="M723" s="550" t="e">
        <f t="shared" si="95"/>
        <v>#REF!</v>
      </c>
      <c r="N723" s="551" t="e">
        <f>NCong!#REF!</f>
        <v>#REF!</v>
      </c>
    </row>
    <row r="724" spans="1:14" ht="39.950000000000003" customHeight="1">
      <c r="A724" s="546" t="e">
        <f>NCong!#REF!</f>
        <v>#REF!</v>
      </c>
      <c r="B724" s="559" t="e">
        <f>NCong!#REF!</f>
        <v>#REF!</v>
      </c>
      <c r="C724" s="548" t="s">
        <v>53</v>
      </c>
      <c r="D724" s="548"/>
      <c r="E724" s="550" t="e">
        <f>NCong!#REF!</f>
        <v>#REF!</v>
      </c>
      <c r="F724" s="550"/>
      <c r="G724" s="550">
        <f t="shared" si="93"/>
        <v>10557.570737815386</v>
      </c>
      <c r="H724" s="550">
        <f t="shared" si="91"/>
        <v>11002.199999999999</v>
      </c>
      <c r="I724" s="550">
        <f t="shared" si="91"/>
        <v>12492.283679999999</v>
      </c>
      <c r="J724" s="550">
        <f t="shared" si="91"/>
        <v>18145.189635300001</v>
      </c>
      <c r="K724" s="550" t="e">
        <f t="shared" si="94"/>
        <v>#REF!</v>
      </c>
      <c r="L724" s="550" t="e">
        <f t="shared" si="92"/>
        <v>#REF!</v>
      </c>
      <c r="M724" s="550" t="e">
        <f t="shared" si="95"/>
        <v>#REF!</v>
      </c>
      <c r="N724" s="551" t="e">
        <f>NCong!#REF!</f>
        <v>#REF!</v>
      </c>
    </row>
    <row r="725" spans="1:14" ht="39.950000000000003" customHeight="1">
      <c r="A725" s="546" t="e">
        <f>NCong!#REF!</f>
        <v>#REF!</v>
      </c>
      <c r="B725" s="559" t="e">
        <f>NCong!#REF!</f>
        <v>#REF!</v>
      </c>
      <c r="C725" s="548" t="s">
        <v>53</v>
      </c>
      <c r="D725" s="548"/>
      <c r="E725" s="550" t="e">
        <f>NCong!#REF!</f>
        <v>#REF!</v>
      </c>
      <c r="F725" s="550"/>
      <c r="G725" s="550">
        <f t="shared" si="93"/>
        <v>10557.570737815386</v>
      </c>
      <c r="H725" s="550">
        <f t="shared" si="91"/>
        <v>11002.199999999999</v>
      </c>
      <c r="I725" s="550">
        <f t="shared" si="91"/>
        <v>12492.283679999999</v>
      </c>
      <c r="J725" s="550">
        <f t="shared" si="91"/>
        <v>18145.189635300001</v>
      </c>
      <c r="K725" s="550" t="e">
        <f t="shared" si="94"/>
        <v>#REF!</v>
      </c>
      <c r="L725" s="550" t="e">
        <f t="shared" si="92"/>
        <v>#REF!</v>
      </c>
      <c r="M725" s="550" t="e">
        <f t="shared" si="95"/>
        <v>#REF!</v>
      </c>
      <c r="N725" s="551" t="e">
        <f>NCong!#REF!</f>
        <v>#REF!</v>
      </c>
    </row>
    <row r="726" spans="1:14" ht="39.950000000000003" customHeight="1">
      <c r="A726" s="546" t="e">
        <f>NCong!#REF!</f>
        <v>#REF!</v>
      </c>
      <c r="B726" s="559" t="e">
        <f>NCong!#REF!</f>
        <v>#REF!</v>
      </c>
      <c r="C726" s="548" t="s">
        <v>53</v>
      </c>
      <c r="D726" s="548"/>
      <c r="E726" s="550" t="e">
        <f>NCong!#REF!</f>
        <v>#REF!</v>
      </c>
      <c r="F726" s="550"/>
      <c r="G726" s="550">
        <f t="shared" si="93"/>
        <v>10557.570737815386</v>
      </c>
      <c r="H726" s="550">
        <f t="shared" si="91"/>
        <v>11002.199999999999</v>
      </c>
      <c r="I726" s="550">
        <f t="shared" si="91"/>
        <v>12492.283679999999</v>
      </c>
      <c r="J726" s="550">
        <f t="shared" si="91"/>
        <v>18145.189635300001</v>
      </c>
      <c r="K726" s="550" t="e">
        <f t="shared" si="94"/>
        <v>#REF!</v>
      </c>
      <c r="L726" s="550" t="e">
        <f t="shared" si="92"/>
        <v>#REF!</v>
      </c>
      <c r="M726" s="550" t="e">
        <f t="shared" si="95"/>
        <v>#REF!</v>
      </c>
      <c r="N726" s="551" t="e">
        <f>NCong!#REF!</f>
        <v>#REF!</v>
      </c>
    </row>
    <row r="727" spans="1:14" ht="50.1" customHeight="1">
      <c r="A727" s="546" t="e">
        <f>NCong!#REF!</f>
        <v>#REF!</v>
      </c>
      <c r="B727" s="559" t="e">
        <f>NCong!#REF!</f>
        <v>#REF!</v>
      </c>
      <c r="C727" s="548" t="s">
        <v>53</v>
      </c>
      <c r="D727" s="548"/>
      <c r="E727" s="550" t="e">
        <f>NCong!#REF!</f>
        <v>#REF!</v>
      </c>
      <c r="F727" s="550"/>
      <c r="G727" s="550">
        <f t="shared" si="93"/>
        <v>10557.570737815386</v>
      </c>
      <c r="H727" s="550">
        <f t="shared" si="91"/>
        <v>11002.199999999999</v>
      </c>
      <c r="I727" s="550">
        <f t="shared" si="91"/>
        <v>12492.283679999999</v>
      </c>
      <c r="J727" s="550">
        <f t="shared" si="91"/>
        <v>18145.189635300001</v>
      </c>
      <c r="K727" s="550" t="e">
        <f t="shared" si="94"/>
        <v>#REF!</v>
      </c>
      <c r="L727" s="550" t="e">
        <f t="shared" si="92"/>
        <v>#REF!</v>
      </c>
      <c r="M727" s="550" t="e">
        <f t="shared" si="95"/>
        <v>#REF!</v>
      </c>
      <c r="N727" s="551" t="e">
        <f>NCong!#REF!</f>
        <v>#REF!</v>
      </c>
    </row>
    <row r="728" spans="1:14" ht="50.1" customHeight="1">
      <c r="A728" s="546" t="e">
        <f>NCong!#REF!</f>
        <v>#REF!</v>
      </c>
      <c r="B728" s="559" t="e">
        <f>NCong!#REF!</f>
        <v>#REF!</v>
      </c>
      <c r="C728" s="548" t="s">
        <v>53</v>
      </c>
      <c r="D728" s="548"/>
      <c r="E728" s="550" t="e">
        <f>NCong!#REF!</f>
        <v>#REF!</v>
      </c>
      <c r="F728" s="550"/>
      <c r="G728" s="550">
        <f t="shared" si="93"/>
        <v>10557.570737815386</v>
      </c>
      <c r="H728" s="550">
        <f t="shared" si="91"/>
        <v>11002.199999999999</v>
      </c>
      <c r="I728" s="550">
        <f t="shared" si="91"/>
        <v>12492.283679999999</v>
      </c>
      <c r="J728" s="550">
        <f t="shared" si="91"/>
        <v>18145.189635300001</v>
      </c>
      <c r="K728" s="550" t="e">
        <f t="shared" si="94"/>
        <v>#REF!</v>
      </c>
      <c r="L728" s="550" t="e">
        <f t="shared" si="92"/>
        <v>#REF!</v>
      </c>
      <c r="M728" s="550" t="e">
        <f t="shared" si="95"/>
        <v>#REF!</v>
      </c>
      <c r="N728" s="551" t="e">
        <f>NCong!#REF!</f>
        <v>#REF!</v>
      </c>
    </row>
    <row r="729" spans="1:14" ht="39.950000000000003" customHeight="1">
      <c r="A729" s="546" t="e">
        <f>NCong!#REF!</f>
        <v>#REF!</v>
      </c>
      <c r="B729" s="559" t="e">
        <f>NCong!#REF!</f>
        <v>#REF!</v>
      </c>
      <c r="C729" s="548" t="s">
        <v>53</v>
      </c>
      <c r="D729" s="548"/>
      <c r="E729" s="550" t="e">
        <f>NCong!#REF!</f>
        <v>#REF!</v>
      </c>
      <c r="F729" s="550"/>
      <c r="G729" s="550">
        <f t="shared" si="93"/>
        <v>10557.570737815386</v>
      </c>
      <c r="H729" s="550">
        <f t="shared" si="91"/>
        <v>11002.199999999999</v>
      </c>
      <c r="I729" s="550">
        <f t="shared" si="91"/>
        <v>12492.283679999999</v>
      </c>
      <c r="J729" s="550">
        <f t="shared" si="91"/>
        <v>18145.189635300001</v>
      </c>
      <c r="K729" s="550" t="e">
        <f t="shared" si="94"/>
        <v>#REF!</v>
      </c>
      <c r="L729" s="550" t="e">
        <f t="shared" si="92"/>
        <v>#REF!</v>
      </c>
      <c r="M729" s="550" t="e">
        <f t="shared" si="95"/>
        <v>#REF!</v>
      </c>
      <c r="N729" s="551" t="e">
        <f>NCong!#REF!</f>
        <v>#REF!</v>
      </c>
    </row>
    <row r="730" spans="1:14" ht="39.950000000000003" customHeight="1">
      <c r="A730" s="546" t="e">
        <f>NCong!#REF!</f>
        <v>#REF!</v>
      </c>
      <c r="B730" s="559" t="e">
        <f>NCong!#REF!</f>
        <v>#REF!</v>
      </c>
      <c r="C730" s="548" t="s">
        <v>53</v>
      </c>
      <c r="D730" s="548"/>
      <c r="E730" s="550" t="e">
        <f>NCong!#REF!</f>
        <v>#REF!</v>
      </c>
      <c r="F730" s="550"/>
      <c r="G730" s="550">
        <f t="shared" si="93"/>
        <v>10557.570737815386</v>
      </c>
      <c r="H730" s="550">
        <f t="shared" si="91"/>
        <v>11002.199999999999</v>
      </c>
      <c r="I730" s="550">
        <f t="shared" si="91"/>
        <v>12492.283679999999</v>
      </c>
      <c r="J730" s="550">
        <f t="shared" si="91"/>
        <v>18145.189635300001</v>
      </c>
      <c r="K730" s="550" t="e">
        <f t="shared" si="94"/>
        <v>#REF!</v>
      </c>
      <c r="L730" s="550" t="e">
        <f t="shared" si="92"/>
        <v>#REF!</v>
      </c>
      <c r="M730" s="550" t="e">
        <f t="shared" si="95"/>
        <v>#REF!</v>
      </c>
      <c r="N730" s="551" t="e">
        <f>NCong!#REF!</f>
        <v>#REF!</v>
      </c>
    </row>
    <row r="731" spans="1:14" ht="50.1" customHeight="1">
      <c r="A731" s="546" t="e">
        <f>NCong!#REF!</f>
        <v>#REF!</v>
      </c>
      <c r="B731" s="559" t="e">
        <f>NCong!#REF!</f>
        <v>#REF!</v>
      </c>
      <c r="C731" s="548" t="s">
        <v>53</v>
      </c>
      <c r="D731" s="548"/>
      <c r="E731" s="550" t="e">
        <f>NCong!#REF!</f>
        <v>#REF!</v>
      </c>
      <c r="F731" s="550"/>
      <c r="G731" s="550">
        <f t="shared" si="93"/>
        <v>10557.570737815386</v>
      </c>
      <c r="H731" s="550">
        <f t="shared" si="93"/>
        <v>11002.199999999999</v>
      </c>
      <c r="I731" s="550">
        <f t="shared" si="93"/>
        <v>12492.283679999999</v>
      </c>
      <c r="J731" s="550">
        <f t="shared" si="93"/>
        <v>18145.189635300001</v>
      </c>
      <c r="K731" s="550" t="e">
        <f t="shared" si="94"/>
        <v>#REF!</v>
      </c>
      <c r="L731" s="550" t="e">
        <f t="shared" si="92"/>
        <v>#REF!</v>
      </c>
      <c r="M731" s="550" t="e">
        <f t="shared" si="95"/>
        <v>#REF!</v>
      </c>
      <c r="N731" s="551" t="e">
        <f>NCong!#REF!</f>
        <v>#REF!</v>
      </c>
    </row>
    <row r="732" spans="1:14" ht="39.950000000000003" customHeight="1">
      <c r="A732" s="546" t="e">
        <f>NCong!#REF!</f>
        <v>#REF!</v>
      </c>
      <c r="B732" s="559" t="e">
        <f>NCong!#REF!</f>
        <v>#REF!</v>
      </c>
      <c r="C732" s="548" t="s">
        <v>53</v>
      </c>
      <c r="D732" s="548"/>
      <c r="E732" s="550" t="e">
        <f>NCong!#REF!</f>
        <v>#REF!</v>
      </c>
      <c r="F732" s="550"/>
      <c r="G732" s="550">
        <f t="shared" si="93"/>
        <v>10557.570737815386</v>
      </c>
      <c r="H732" s="550">
        <f t="shared" si="93"/>
        <v>11002.199999999999</v>
      </c>
      <c r="I732" s="550">
        <f t="shared" si="93"/>
        <v>12492.283679999999</v>
      </c>
      <c r="J732" s="550">
        <f t="shared" si="93"/>
        <v>18145.189635300001</v>
      </c>
      <c r="K732" s="550" t="e">
        <f t="shared" si="94"/>
        <v>#REF!</v>
      </c>
      <c r="L732" s="550" t="e">
        <f t="shared" si="92"/>
        <v>#REF!</v>
      </c>
      <c r="M732" s="550" t="e">
        <f t="shared" si="95"/>
        <v>#REF!</v>
      </c>
      <c r="N732" s="551" t="e">
        <f>NCong!#REF!</f>
        <v>#REF!</v>
      </c>
    </row>
    <row r="733" spans="1:14" ht="39.950000000000003" customHeight="1">
      <c r="A733" s="546" t="e">
        <f>NCong!#REF!</f>
        <v>#REF!</v>
      </c>
      <c r="B733" s="559" t="e">
        <f>NCong!#REF!</f>
        <v>#REF!</v>
      </c>
      <c r="C733" s="548" t="s">
        <v>53</v>
      </c>
      <c r="D733" s="548"/>
      <c r="E733" s="550" t="e">
        <f>NCong!#REF!</f>
        <v>#REF!</v>
      </c>
      <c r="F733" s="550"/>
      <c r="G733" s="550">
        <f t="shared" si="93"/>
        <v>10557.570737815386</v>
      </c>
      <c r="H733" s="550">
        <f t="shared" si="93"/>
        <v>11002.199999999999</v>
      </c>
      <c r="I733" s="550">
        <f t="shared" si="93"/>
        <v>12492.283679999999</v>
      </c>
      <c r="J733" s="550">
        <f t="shared" si="93"/>
        <v>18145.189635300001</v>
      </c>
      <c r="K733" s="550" t="e">
        <f t="shared" si="94"/>
        <v>#REF!</v>
      </c>
      <c r="L733" s="550" t="e">
        <f t="shared" si="92"/>
        <v>#REF!</v>
      </c>
      <c r="M733" s="550" t="e">
        <f t="shared" si="95"/>
        <v>#REF!</v>
      </c>
      <c r="N733" s="551" t="e">
        <f>NCong!#REF!</f>
        <v>#REF!</v>
      </c>
    </row>
    <row r="734" spans="1:14" ht="30" customHeight="1">
      <c r="A734" s="546" t="e">
        <f>NCong!#REF!</f>
        <v>#REF!</v>
      </c>
      <c r="B734" s="559" t="e">
        <f>NCong!#REF!</f>
        <v>#REF!</v>
      </c>
      <c r="C734" s="548" t="s">
        <v>53</v>
      </c>
      <c r="D734" s="548"/>
      <c r="E734" s="550" t="e">
        <f>NCong!#REF!</f>
        <v>#REF!</v>
      </c>
      <c r="F734" s="550"/>
      <c r="G734" s="550">
        <f t="shared" si="93"/>
        <v>10557.570737815386</v>
      </c>
      <c r="H734" s="550">
        <f t="shared" si="93"/>
        <v>11002.199999999999</v>
      </c>
      <c r="I734" s="550">
        <f t="shared" si="93"/>
        <v>12492.283679999999</v>
      </c>
      <c r="J734" s="550">
        <f t="shared" si="93"/>
        <v>18145.189635300001</v>
      </c>
      <c r="K734" s="550" t="e">
        <f t="shared" si="94"/>
        <v>#REF!</v>
      </c>
      <c r="L734" s="550" t="e">
        <f t="shared" si="92"/>
        <v>#REF!</v>
      </c>
      <c r="M734" s="550" t="e">
        <f t="shared" si="95"/>
        <v>#REF!</v>
      </c>
      <c r="N734" s="551" t="e">
        <f>NCong!#REF!</f>
        <v>#REF!</v>
      </c>
    </row>
    <row r="735" spans="1:14" ht="30" customHeight="1">
      <c r="A735" s="546" t="e">
        <f>NCong!#REF!</f>
        <v>#REF!</v>
      </c>
      <c r="B735" s="559" t="e">
        <f>NCong!#REF!</f>
        <v>#REF!</v>
      </c>
      <c r="C735" s="548" t="s">
        <v>53</v>
      </c>
      <c r="D735" s="548"/>
      <c r="E735" s="550" t="e">
        <f>NCong!#REF!</f>
        <v>#REF!</v>
      </c>
      <c r="F735" s="550"/>
      <c r="G735" s="550">
        <f t="shared" si="93"/>
        <v>10557.570737815386</v>
      </c>
      <c r="H735" s="550">
        <f t="shared" si="93"/>
        <v>11002.199999999999</v>
      </c>
      <c r="I735" s="550">
        <f t="shared" si="93"/>
        <v>12492.283679999999</v>
      </c>
      <c r="J735" s="550">
        <f t="shared" si="93"/>
        <v>18145.189635300001</v>
      </c>
      <c r="K735" s="550" t="e">
        <f t="shared" si="94"/>
        <v>#REF!</v>
      </c>
      <c r="L735" s="550" t="e">
        <f t="shared" si="92"/>
        <v>#REF!</v>
      </c>
      <c r="M735" s="550" t="e">
        <f t="shared" si="95"/>
        <v>#REF!</v>
      </c>
      <c r="N735" s="551" t="e">
        <f>NCong!#REF!</f>
        <v>#REF!</v>
      </c>
    </row>
    <row r="736" spans="1:14" ht="99.95" customHeight="1">
      <c r="A736" s="546" t="e">
        <f>NCong!#REF!</f>
        <v>#REF!</v>
      </c>
      <c r="B736" s="559" t="e">
        <f>NCong!#REF!</f>
        <v>#REF!</v>
      </c>
      <c r="C736" s="548" t="s">
        <v>53</v>
      </c>
      <c r="D736" s="548"/>
      <c r="E736" s="550" t="e">
        <f>NCong!#REF!</f>
        <v>#REF!</v>
      </c>
      <c r="F736" s="550"/>
      <c r="G736" s="550">
        <f t="shared" si="93"/>
        <v>10557.570737815386</v>
      </c>
      <c r="H736" s="550">
        <f t="shared" si="93"/>
        <v>11002.199999999999</v>
      </c>
      <c r="I736" s="550">
        <f t="shared" si="93"/>
        <v>12492.283679999999</v>
      </c>
      <c r="J736" s="550">
        <f t="shared" si="93"/>
        <v>18145.189635300001</v>
      </c>
      <c r="K736" s="550" t="e">
        <f t="shared" si="94"/>
        <v>#REF!</v>
      </c>
      <c r="L736" s="550" t="e">
        <f t="shared" si="92"/>
        <v>#REF!</v>
      </c>
      <c r="M736" s="550" t="e">
        <f t="shared" si="95"/>
        <v>#REF!</v>
      </c>
      <c r="N736" s="551" t="e">
        <f>NCong!#REF!</f>
        <v>#REF!</v>
      </c>
    </row>
    <row r="737" spans="1:14" ht="39.950000000000003" customHeight="1">
      <c r="A737" s="546" t="e">
        <f>NCong!#REF!</f>
        <v>#REF!</v>
      </c>
      <c r="B737" s="559" t="e">
        <f>NCong!#REF!</f>
        <v>#REF!</v>
      </c>
      <c r="C737" s="548" t="s">
        <v>53</v>
      </c>
      <c r="D737" s="548"/>
      <c r="E737" s="550" t="e">
        <f>NCong!#REF!</f>
        <v>#REF!</v>
      </c>
      <c r="F737" s="550"/>
      <c r="G737" s="550">
        <f t="shared" si="93"/>
        <v>10557.570737815386</v>
      </c>
      <c r="H737" s="550">
        <f t="shared" si="93"/>
        <v>11002.199999999999</v>
      </c>
      <c r="I737" s="550">
        <f t="shared" si="93"/>
        <v>12492.283679999999</v>
      </c>
      <c r="J737" s="550">
        <f t="shared" si="93"/>
        <v>18145.189635300001</v>
      </c>
      <c r="K737" s="550" t="e">
        <f t="shared" si="94"/>
        <v>#REF!</v>
      </c>
      <c r="L737" s="550" t="e">
        <f t="shared" si="92"/>
        <v>#REF!</v>
      </c>
      <c r="M737" s="550" t="e">
        <f t="shared" si="95"/>
        <v>#REF!</v>
      </c>
      <c r="N737" s="551" t="e">
        <f>NCong!#REF!</f>
        <v>#REF!</v>
      </c>
    </row>
    <row r="738" spans="1:14" ht="50.1" customHeight="1">
      <c r="A738" s="546" t="e">
        <f>NCong!#REF!</f>
        <v>#REF!</v>
      </c>
      <c r="B738" s="559" t="e">
        <f>NCong!#REF!</f>
        <v>#REF!</v>
      </c>
      <c r="C738" s="548" t="s">
        <v>53</v>
      </c>
      <c r="D738" s="548"/>
      <c r="E738" s="550" t="e">
        <f>NCong!#REF!</f>
        <v>#REF!</v>
      </c>
      <c r="F738" s="550"/>
      <c r="G738" s="550">
        <f t="shared" si="93"/>
        <v>10557.570737815386</v>
      </c>
      <c r="H738" s="550">
        <f t="shared" si="93"/>
        <v>11002.199999999999</v>
      </c>
      <c r="I738" s="550">
        <f t="shared" si="93"/>
        <v>12492.283679999999</v>
      </c>
      <c r="J738" s="550">
        <f t="shared" si="93"/>
        <v>18145.189635300001</v>
      </c>
      <c r="K738" s="550" t="e">
        <f t="shared" si="94"/>
        <v>#REF!</v>
      </c>
      <c r="L738" s="550" t="e">
        <f t="shared" si="92"/>
        <v>#REF!</v>
      </c>
      <c r="M738" s="550" t="e">
        <f t="shared" si="95"/>
        <v>#REF!</v>
      </c>
      <c r="N738" s="551" t="e">
        <f>NCong!#REF!</f>
        <v>#REF!</v>
      </c>
    </row>
    <row r="739" spans="1:14" ht="50.1" customHeight="1">
      <c r="A739" s="546" t="e">
        <f>NCong!#REF!</f>
        <v>#REF!</v>
      </c>
      <c r="B739" s="559" t="e">
        <f>NCong!#REF!</f>
        <v>#REF!</v>
      </c>
      <c r="C739" s="548" t="s">
        <v>53</v>
      </c>
      <c r="D739" s="548"/>
      <c r="E739" s="550" t="e">
        <f>NCong!#REF!</f>
        <v>#REF!</v>
      </c>
      <c r="F739" s="550"/>
      <c r="G739" s="550">
        <f t="shared" si="93"/>
        <v>10557.570737815386</v>
      </c>
      <c r="H739" s="550">
        <f t="shared" si="93"/>
        <v>11002.199999999999</v>
      </c>
      <c r="I739" s="550">
        <f t="shared" si="93"/>
        <v>12492.283679999999</v>
      </c>
      <c r="J739" s="550">
        <f t="shared" si="93"/>
        <v>18145.189635300001</v>
      </c>
      <c r="K739" s="550" t="e">
        <f t="shared" si="94"/>
        <v>#REF!</v>
      </c>
      <c r="L739" s="550" t="e">
        <f t="shared" si="92"/>
        <v>#REF!</v>
      </c>
      <c r="M739" s="550" t="e">
        <f t="shared" si="95"/>
        <v>#REF!</v>
      </c>
      <c r="N739" s="551" t="e">
        <f>NCong!#REF!</f>
        <v>#REF!</v>
      </c>
    </row>
    <row r="740" spans="1:14" ht="30" customHeight="1">
      <c r="A740" s="546" t="e">
        <f>NCong!#REF!</f>
        <v>#REF!</v>
      </c>
      <c r="B740" s="559" t="e">
        <f>NCong!#REF!</f>
        <v>#REF!</v>
      </c>
      <c r="C740" s="548" t="s">
        <v>53</v>
      </c>
      <c r="D740" s="548"/>
      <c r="E740" s="550" t="e">
        <f>NCong!#REF!</f>
        <v>#REF!</v>
      </c>
      <c r="F740" s="550"/>
      <c r="G740" s="550">
        <f t="shared" si="93"/>
        <v>10557.570737815386</v>
      </c>
      <c r="H740" s="550">
        <f t="shared" si="93"/>
        <v>11002.199999999999</v>
      </c>
      <c r="I740" s="550">
        <f t="shared" si="93"/>
        <v>12492.283679999999</v>
      </c>
      <c r="J740" s="550">
        <f t="shared" si="93"/>
        <v>18145.189635300001</v>
      </c>
      <c r="K740" s="550" t="e">
        <f t="shared" si="94"/>
        <v>#REF!</v>
      </c>
      <c r="L740" s="550" t="e">
        <f t="shared" si="92"/>
        <v>#REF!</v>
      </c>
      <c r="M740" s="550" t="e">
        <f t="shared" si="95"/>
        <v>#REF!</v>
      </c>
      <c r="N740" s="551" t="e">
        <f>NCong!#REF!</f>
        <v>#REF!</v>
      </c>
    </row>
    <row r="741" spans="1:14" ht="35.1" customHeight="1">
      <c r="A741" s="587"/>
      <c r="B741" s="1837" t="s">
        <v>517</v>
      </c>
      <c r="C741" s="1837"/>
      <c r="D741" s="1837"/>
      <c r="E741" s="1837"/>
      <c r="F741" s="1837"/>
      <c r="G741" s="1837"/>
      <c r="H741" s="1837"/>
      <c r="I741" s="1837"/>
      <c r="J741" s="1837"/>
      <c r="K741" s="1837"/>
      <c r="L741" s="1837"/>
      <c r="M741" s="1837"/>
      <c r="N741" s="1838"/>
    </row>
    <row r="742" spans="1:14" ht="35.1" customHeight="1">
      <c r="A742" s="587"/>
      <c r="B742" s="588"/>
      <c r="C742" s="588" t="s">
        <v>53</v>
      </c>
      <c r="D742" s="588" t="s">
        <v>32</v>
      </c>
      <c r="E742" s="537">
        <v>1208731.1900000002</v>
      </c>
      <c r="F742" s="537">
        <v>0</v>
      </c>
      <c r="G742" s="537">
        <v>4715.7805288461541</v>
      </c>
      <c r="H742" s="537">
        <v>18280.080000000002</v>
      </c>
      <c r="I742" s="537">
        <v>12475.755668</v>
      </c>
      <c r="J742" s="537">
        <v>24862.451999999997</v>
      </c>
      <c r="K742" s="537">
        <v>1269065.2581968466</v>
      </c>
      <c r="L742" s="537">
        <v>190359.78872952698</v>
      </c>
      <c r="M742" s="537">
        <v>1459425.0469263736</v>
      </c>
      <c r="N742" s="538">
        <v>42434.75</v>
      </c>
    </row>
    <row r="743" spans="1:14" ht="35.1" customHeight="1">
      <c r="A743" s="539" t="s">
        <v>246</v>
      </c>
      <c r="B743" s="545" t="s">
        <v>196</v>
      </c>
      <c r="C743" s="540" t="s">
        <v>53</v>
      </c>
      <c r="D743" s="541">
        <v>0</v>
      </c>
      <c r="E743" s="542">
        <v>1136646.1900000002</v>
      </c>
      <c r="F743" s="542"/>
      <c r="G743" s="542">
        <v>4693.350240384616</v>
      </c>
      <c r="H743" s="542">
        <v>18280.080000000002</v>
      </c>
      <c r="I743" s="542">
        <v>12475.755668</v>
      </c>
      <c r="J743" s="542">
        <v>24835.271999999997</v>
      </c>
      <c r="K743" s="542">
        <v>1196930.6479083849</v>
      </c>
      <c r="L743" s="542">
        <v>179539.59718625774</v>
      </c>
      <c r="M743" s="542">
        <v>1376470.2450946427</v>
      </c>
      <c r="N743" s="543">
        <v>39744.75</v>
      </c>
    </row>
    <row r="744" spans="1:14" ht="35.1" customHeight="1">
      <c r="A744" s="539" t="s">
        <v>247</v>
      </c>
      <c r="B744" s="545" t="s">
        <v>166</v>
      </c>
      <c r="C744" s="540" t="s">
        <v>53</v>
      </c>
      <c r="D744" s="541">
        <v>0</v>
      </c>
      <c r="E744" s="542">
        <v>54063.75</v>
      </c>
      <c r="F744" s="542"/>
      <c r="G744" s="542">
        <v>0</v>
      </c>
      <c r="H744" s="542">
        <v>0</v>
      </c>
      <c r="I744" s="542">
        <v>0</v>
      </c>
      <c r="J744" s="542">
        <v>0</v>
      </c>
      <c r="K744" s="542">
        <v>54063.75</v>
      </c>
      <c r="L744" s="542">
        <v>8109.5625</v>
      </c>
      <c r="M744" s="542">
        <v>62173.3125</v>
      </c>
      <c r="N744" s="543">
        <v>2017.5</v>
      </c>
    </row>
    <row r="745" spans="1:14" ht="35.1" customHeight="1">
      <c r="A745" s="539" t="s">
        <v>248</v>
      </c>
      <c r="B745" s="545" t="s">
        <v>140</v>
      </c>
      <c r="C745" s="540" t="s">
        <v>53</v>
      </c>
      <c r="D745" s="541">
        <v>0</v>
      </c>
      <c r="E745" s="542">
        <v>18021.25</v>
      </c>
      <c r="F745" s="542"/>
      <c r="G745" s="542">
        <v>22.43028846153846</v>
      </c>
      <c r="H745" s="542">
        <v>0</v>
      </c>
      <c r="I745" s="542">
        <v>0</v>
      </c>
      <c r="J745" s="542">
        <v>27.18</v>
      </c>
      <c r="K745" s="542">
        <v>18070.860288461539</v>
      </c>
      <c r="L745" s="542">
        <v>2710.6290432692308</v>
      </c>
      <c r="M745" s="542">
        <v>20781.489331730769</v>
      </c>
      <c r="N745" s="543">
        <v>672.5</v>
      </c>
    </row>
    <row r="746" spans="1:14" ht="35.1" customHeight="1">
      <c r="A746" s="539" t="s">
        <v>259</v>
      </c>
      <c r="B746" s="545" t="s">
        <v>258</v>
      </c>
      <c r="C746" s="540">
        <v>0</v>
      </c>
      <c r="D746" s="540">
        <v>0</v>
      </c>
      <c r="E746" s="542"/>
      <c r="F746" s="542"/>
      <c r="G746" s="542"/>
      <c r="H746" s="542"/>
      <c r="I746" s="542"/>
      <c r="J746" s="542"/>
      <c r="K746" s="542"/>
      <c r="L746" s="542"/>
      <c r="M746" s="542"/>
      <c r="N746" s="543"/>
    </row>
    <row r="747" spans="1:14" ht="80.099999999999994" customHeight="1">
      <c r="A747" s="578" t="s">
        <v>33</v>
      </c>
      <c r="B747" s="1839" t="s">
        <v>260</v>
      </c>
      <c r="C747" s="1839">
        <v>0</v>
      </c>
      <c r="D747" s="1839">
        <v>0</v>
      </c>
      <c r="E747" s="570"/>
      <c r="F747" s="570"/>
      <c r="G747" s="570"/>
      <c r="H747" s="570"/>
      <c r="I747" s="570"/>
      <c r="J747" s="570"/>
      <c r="K747" s="570"/>
      <c r="L747" s="570"/>
      <c r="M747" s="570"/>
      <c r="N747" s="571"/>
    </row>
    <row r="748" spans="1:14" ht="80.099999999999994" customHeight="1">
      <c r="A748" s="578" t="s">
        <v>34</v>
      </c>
      <c r="B748" s="1839" t="s">
        <v>323</v>
      </c>
      <c r="C748" s="1839">
        <v>0</v>
      </c>
      <c r="D748" s="1839">
        <v>0</v>
      </c>
      <c r="E748" s="570"/>
      <c r="F748" s="570"/>
      <c r="G748" s="570"/>
      <c r="H748" s="570"/>
      <c r="I748" s="570"/>
      <c r="J748" s="570"/>
      <c r="K748" s="570"/>
      <c r="L748" s="570"/>
      <c r="M748" s="570"/>
      <c r="N748" s="571"/>
    </row>
    <row r="749" spans="1:14" ht="50.1" customHeight="1">
      <c r="A749" s="546" t="s">
        <v>33</v>
      </c>
      <c r="B749" s="559" t="s">
        <v>279</v>
      </c>
      <c r="C749" s="548" t="s">
        <v>53</v>
      </c>
      <c r="D749" s="548"/>
      <c r="E749" s="550">
        <v>1051589.2563199999</v>
      </c>
      <c r="F749" s="550"/>
      <c r="G749" s="550">
        <v>2829.4683173076924</v>
      </c>
      <c r="H749" s="550">
        <v>10968.048000000001</v>
      </c>
      <c r="I749" s="550">
        <v>7485.4534007999991</v>
      </c>
      <c r="J749" s="550">
        <v>14917.471199999998</v>
      </c>
      <c r="K749" s="550">
        <v>1087789.6972381077</v>
      </c>
      <c r="L749" s="550">
        <v>163168.45458571616</v>
      </c>
      <c r="M749" s="550">
        <v>1250958.1518238238</v>
      </c>
      <c r="N749" s="551">
        <v>37157.79045</v>
      </c>
    </row>
    <row r="750" spans="1:14" ht="50.1" customHeight="1">
      <c r="A750" s="546" t="s">
        <v>34</v>
      </c>
      <c r="B750" s="559" t="s">
        <v>280</v>
      </c>
      <c r="C750" s="548" t="s">
        <v>53</v>
      </c>
      <c r="D750" s="548"/>
      <c r="E750" s="550">
        <v>1050733.3439</v>
      </c>
      <c r="F750" s="550"/>
      <c r="G750" s="550">
        <v>2829.4683173076924</v>
      </c>
      <c r="H750" s="550">
        <v>10968.048000000001</v>
      </c>
      <c r="I750" s="550">
        <v>7485.4534007999991</v>
      </c>
      <c r="J750" s="550">
        <v>14917.471199999998</v>
      </c>
      <c r="K750" s="550">
        <v>1086933.7848181077</v>
      </c>
      <c r="L750" s="550">
        <v>163040.06772271617</v>
      </c>
      <c r="M750" s="550">
        <v>1249973.8525408239</v>
      </c>
      <c r="N750" s="551">
        <v>37129.162125000003</v>
      </c>
    </row>
    <row r="751" spans="1:14" ht="39.950000000000003" customHeight="1">
      <c r="A751" s="546" t="s">
        <v>35</v>
      </c>
      <c r="B751" s="559" t="s">
        <v>281</v>
      </c>
      <c r="C751" s="548" t="s">
        <v>53</v>
      </c>
      <c r="D751" s="548"/>
      <c r="E751" s="550">
        <v>1044662.3372</v>
      </c>
      <c r="F751" s="550"/>
      <c r="G751" s="550">
        <v>2829.4683173076924</v>
      </c>
      <c r="H751" s="550">
        <v>10968.048000000001</v>
      </c>
      <c r="I751" s="550">
        <v>7485.4534007999991</v>
      </c>
      <c r="J751" s="550">
        <v>14917.471199999998</v>
      </c>
      <c r="K751" s="550">
        <v>1080862.7781181077</v>
      </c>
      <c r="L751" s="550">
        <v>162129.41671771614</v>
      </c>
      <c r="M751" s="550">
        <v>1242992.194835824</v>
      </c>
      <c r="N751" s="551">
        <v>36926.100750000005</v>
      </c>
    </row>
    <row r="752" spans="1:14" ht="39.950000000000003" customHeight="1">
      <c r="A752" s="546" t="s">
        <v>158</v>
      </c>
      <c r="B752" s="559" t="s">
        <v>282</v>
      </c>
      <c r="C752" s="548" t="s">
        <v>53</v>
      </c>
      <c r="D752" s="548"/>
      <c r="E752" s="550">
        <v>131050.22718</v>
      </c>
      <c r="F752" s="550"/>
      <c r="G752" s="550">
        <v>2829.4683173076924</v>
      </c>
      <c r="H752" s="550">
        <v>10968.048000000001</v>
      </c>
      <c r="I752" s="550">
        <v>7485.4534007999991</v>
      </c>
      <c r="J752" s="550">
        <v>14917.471199999998</v>
      </c>
      <c r="K752" s="550">
        <v>167250.66809810771</v>
      </c>
      <c r="L752" s="550">
        <v>25087.600214716156</v>
      </c>
      <c r="M752" s="550">
        <v>192338.26831282387</v>
      </c>
      <c r="N752" s="551">
        <v>4592.5226750000002</v>
      </c>
    </row>
    <row r="753" spans="1:14" ht="50.1" customHeight="1">
      <c r="A753" s="546" t="s">
        <v>159</v>
      </c>
      <c r="B753" s="559" t="s">
        <v>324</v>
      </c>
      <c r="C753" s="548" t="s">
        <v>53</v>
      </c>
      <c r="D753" s="548"/>
      <c r="E753" s="550">
        <v>129464.46695999999</v>
      </c>
      <c r="F753" s="550"/>
      <c r="G753" s="550">
        <v>2829.4683173076924</v>
      </c>
      <c r="H753" s="550">
        <v>10968.048000000001</v>
      </c>
      <c r="I753" s="550">
        <v>7485.4534007999991</v>
      </c>
      <c r="J753" s="550">
        <v>14917.471199999998</v>
      </c>
      <c r="K753" s="550">
        <v>165664.90787810771</v>
      </c>
      <c r="L753" s="550">
        <v>24849.736181716155</v>
      </c>
      <c r="M753" s="550">
        <v>190514.64405982386</v>
      </c>
      <c r="N753" s="551">
        <v>4539.4826000000003</v>
      </c>
    </row>
    <row r="754" spans="1:14" ht="80.099999999999994" customHeight="1">
      <c r="A754" s="546" t="s">
        <v>160</v>
      </c>
      <c r="B754" s="559" t="s">
        <v>325</v>
      </c>
      <c r="C754" s="548" t="s">
        <v>53</v>
      </c>
      <c r="D754" s="548"/>
      <c r="E754" s="550">
        <v>1049857.52654</v>
      </c>
      <c r="F754" s="550"/>
      <c r="G754" s="550">
        <v>2829.4683173076924</v>
      </c>
      <c r="H754" s="550">
        <v>10968.048000000001</v>
      </c>
      <c r="I754" s="550">
        <v>7485.4534007999991</v>
      </c>
      <c r="J754" s="550">
        <v>14917.471199999998</v>
      </c>
      <c r="K754" s="550">
        <v>1086057.9674581077</v>
      </c>
      <c r="L754" s="550">
        <v>162908.69511871616</v>
      </c>
      <c r="M754" s="550">
        <v>1248966.662576824</v>
      </c>
      <c r="N754" s="551">
        <v>37099.868025000003</v>
      </c>
    </row>
    <row r="755" spans="1:14" ht="39.950000000000003" customHeight="1">
      <c r="A755" s="546" t="s">
        <v>161</v>
      </c>
      <c r="B755" s="559" t="s">
        <v>285</v>
      </c>
      <c r="C755" s="548" t="s">
        <v>53</v>
      </c>
      <c r="D755" s="548"/>
      <c r="E755" s="550">
        <v>1045100.2458799999</v>
      </c>
      <c r="F755" s="550"/>
      <c r="G755" s="550">
        <v>2829.4683173076924</v>
      </c>
      <c r="H755" s="550">
        <v>10968.048000000001</v>
      </c>
      <c r="I755" s="550">
        <v>7485.4534007999991</v>
      </c>
      <c r="J755" s="550">
        <v>14917.471199999998</v>
      </c>
      <c r="K755" s="550">
        <v>1081300.6867981076</v>
      </c>
      <c r="L755" s="550">
        <v>162195.10301971613</v>
      </c>
      <c r="M755" s="550">
        <v>1243495.7898178238</v>
      </c>
      <c r="N755" s="551">
        <v>36940.747800000005</v>
      </c>
    </row>
    <row r="756" spans="1:14" ht="39.950000000000003" customHeight="1">
      <c r="A756" s="546" t="s">
        <v>162</v>
      </c>
      <c r="B756" s="559" t="s">
        <v>287</v>
      </c>
      <c r="C756" s="548" t="s">
        <v>53</v>
      </c>
      <c r="D756" s="548"/>
      <c r="E756" s="550">
        <v>1084606.2054399999</v>
      </c>
      <c r="F756" s="550"/>
      <c r="G756" s="550">
        <v>2829.4683173076924</v>
      </c>
      <c r="H756" s="550">
        <v>10968.048000000001</v>
      </c>
      <c r="I756" s="550">
        <v>7485.4534007999991</v>
      </c>
      <c r="J756" s="550">
        <v>14917.471199999998</v>
      </c>
      <c r="K756" s="550">
        <v>1120806.6463581077</v>
      </c>
      <c r="L756" s="550">
        <v>168120.99695371615</v>
      </c>
      <c r="M756" s="550">
        <v>1288927.6433118237</v>
      </c>
      <c r="N756" s="551">
        <v>38401.592650000006</v>
      </c>
    </row>
    <row r="757" spans="1:14" ht="39.950000000000003" customHeight="1">
      <c r="A757" s="546" t="s">
        <v>165</v>
      </c>
      <c r="B757" s="559" t="s">
        <v>290</v>
      </c>
      <c r="C757" s="548" t="s">
        <v>53</v>
      </c>
      <c r="D757" s="548"/>
      <c r="E757" s="550">
        <v>1085482.0227999999</v>
      </c>
      <c r="F757" s="550"/>
      <c r="G757" s="550">
        <v>2829.4683173076924</v>
      </c>
      <c r="H757" s="550">
        <v>10968.048000000001</v>
      </c>
      <c r="I757" s="550">
        <v>7485.4534007999991</v>
      </c>
      <c r="J757" s="550">
        <v>14917.471199999998</v>
      </c>
      <c r="K757" s="550">
        <v>1121682.4637181077</v>
      </c>
      <c r="L757" s="550">
        <v>168252.36955771616</v>
      </c>
      <c r="M757" s="550">
        <v>1289934.8332758239</v>
      </c>
      <c r="N757" s="551">
        <v>38430.886750000005</v>
      </c>
    </row>
    <row r="758" spans="1:14" ht="39.950000000000003" customHeight="1">
      <c r="A758" s="546" t="s">
        <v>37</v>
      </c>
      <c r="B758" s="559" t="s">
        <v>291</v>
      </c>
      <c r="C758" s="548" t="s">
        <v>53</v>
      </c>
      <c r="D758" s="548"/>
      <c r="E758" s="550">
        <v>1085044.1141199998</v>
      </c>
      <c r="F758" s="550"/>
      <c r="G758" s="550">
        <v>2829.4683173076924</v>
      </c>
      <c r="H758" s="550">
        <v>10968.048000000001</v>
      </c>
      <c r="I758" s="550">
        <v>7485.4534007999991</v>
      </c>
      <c r="J758" s="550">
        <v>14917.471199999998</v>
      </c>
      <c r="K758" s="550">
        <v>1121244.5550381076</v>
      </c>
      <c r="L758" s="550">
        <v>168186.68325571614</v>
      </c>
      <c r="M758" s="550">
        <v>1289431.2382938238</v>
      </c>
      <c r="N758" s="551">
        <v>38416.239700000006</v>
      </c>
    </row>
    <row r="759" spans="1:14" ht="39.950000000000003" customHeight="1">
      <c r="A759" s="546" t="s">
        <v>38</v>
      </c>
      <c r="B759" s="559" t="s">
        <v>292</v>
      </c>
      <c r="C759" s="548" t="s">
        <v>53</v>
      </c>
      <c r="D759" s="548"/>
      <c r="E759" s="550">
        <v>1085482.0227999999</v>
      </c>
      <c r="F759" s="550"/>
      <c r="G759" s="550">
        <v>2829.4683173076924</v>
      </c>
      <c r="H759" s="550">
        <v>10968.048000000001</v>
      </c>
      <c r="I759" s="550">
        <v>7485.4534007999991</v>
      </c>
      <c r="J759" s="550">
        <v>14917.471199999998</v>
      </c>
      <c r="K759" s="550">
        <v>1121682.4637181077</v>
      </c>
      <c r="L759" s="550">
        <v>168252.36955771616</v>
      </c>
      <c r="M759" s="550">
        <v>1289934.8332758239</v>
      </c>
      <c r="N759" s="551">
        <v>38430.886750000005</v>
      </c>
    </row>
    <row r="760" spans="1:14" ht="39.950000000000003" customHeight="1">
      <c r="A760" s="546" t="s">
        <v>184</v>
      </c>
      <c r="B760" s="559" t="s">
        <v>293</v>
      </c>
      <c r="C760" s="548" t="s">
        <v>53</v>
      </c>
      <c r="D760" s="548"/>
      <c r="E760" s="550">
        <v>1084606.2054399999</v>
      </c>
      <c r="F760" s="550"/>
      <c r="G760" s="550">
        <v>2829.4683173076924</v>
      </c>
      <c r="H760" s="550">
        <v>10968.048000000001</v>
      </c>
      <c r="I760" s="550">
        <v>7485.4534007999991</v>
      </c>
      <c r="J760" s="550">
        <v>14917.471199999998</v>
      </c>
      <c r="K760" s="550">
        <v>1120806.6463581077</v>
      </c>
      <c r="L760" s="550">
        <v>168120.99695371615</v>
      </c>
      <c r="M760" s="550">
        <v>1288927.6433118237</v>
      </c>
      <c r="N760" s="551">
        <v>38401.592650000006</v>
      </c>
    </row>
    <row r="761" spans="1:14" ht="50.1" customHeight="1">
      <c r="A761" s="546" t="s">
        <v>185</v>
      </c>
      <c r="B761" s="559" t="s">
        <v>294</v>
      </c>
      <c r="C761" s="548" t="s">
        <v>53</v>
      </c>
      <c r="D761" s="548"/>
      <c r="E761" s="550">
        <v>1084606.2054399999</v>
      </c>
      <c r="F761" s="550"/>
      <c r="G761" s="550">
        <v>2829.4683173076924</v>
      </c>
      <c r="H761" s="550">
        <v>10968.048000000001</v>
      </c>
      <c r="I761" s="550">
        <v>7485.4534007999991</v>
      </c>
      <c r="J761" s="550">
        <v>14917.471199999998</v>
      </c>
      <c r="K761" s="550">
        <v>1120806.6463581077</v>
      </c>
      <c r="L761" s="550">
        <v>168120.99695371615</v>
      </c>
      <c r="M761" s="550">
        <v>1288927.6433118237</v>
      </c>
      <c r="N761" s="551">
        <v>38401.592650000006</v>
      </c>
    </row>
    <row r="762" spans="1:14" ht="50.1" customHeight="1">
      <c r="A762" s="546" t="s">
        <v>187</v>
      </c>
      <c r="B762" s="559" t="s">
        <v>295</v>
      </c>
      <c r="C762" s="548" t="s">
        <v>53</v>
      </c>
      <c r="D762" s="548"/>
      <c r="E762" s="550">
        <v>1084606.2054399999</v>
      </c>
      <c r="F762" s="550"/>
      <c r="G762" s="550">
        <v>2829.4683173076924</v>
      </c>
      <c r="H762" s="550">
        <v>10968.048000000001</v>
      </c>
      <c r="I762" s="550">
        <v>7485.4534007999991</v>
      </c>
      <c r="J762" s="550">
        <v>14917.471199999998</v>
      </c>
      <c r="K762" s="550">
        <v>1120806.6463581077</v>
      </c>
      <c r="L762" s="550">
        <v>168120.99695371615</v>
      </c>
      <c r="M762" s="550">
        <v>1288927.6433118237</v>
      </c>
      <c r="N762" s="551">
        <v>38401.592650000006</v>
      </c>
    </row>
    <row r="763" spans="1:14" ht="39.950000000000003" customHeight="1">
      <c r="A763" s="546" t="s">
        <v>194</v>
      </c>
      <c r="B763" s="559" t="s">
        <v>297</v>
      </c>
      <c r="C763" s="548" t="s">
        <v>53</v>
      </c>
      <c r="D763" s="548"/>
      <c r="E763" s="550">
        <v>1084606.2054399999</v>
      </c>
      <c r="F763" s="550"/>
      <c r="G763" s="550">
        <v>2829.4683173076924</v>
      </c>
      <c r="H763" s="550">
        <v>10968.048000000001</v>
      </c>
      <c r="I763" s="550">
        <v>7485.4534007999991</v>
      </c>
      <c r="J763" s="550">
        <v>14917.471199999998</v>
      </c>
      <c r="K763" s="550">
        <v>1120806.6463581077</v>
      </c>
      <c r="L763" s="550">
        <v>168120.99695371615</v>
      </c>
      <c r="M763" s="550">
        <v>1288927.6433118237</v>
      </c>
      <c r="N763" s="551">
        <v>38401.592650000006</v>
      </c>
    </row>
    <row r="764" spans="1:14" ht="39.950000000000003" customHeight="1">
      <c r="A764" s="546" t="s">
        <v>195</v>
      </c>
      <c r="B764" s="559" t="s">
        <v>326</v>
      </c>
      <c r="C764" s="548" t="s">
        <v>53</v>
      </c>
      <c r="D764" s="548"/>
      <c r="E764" s="550">
        <v>1084606.2054399999</v>
      </c>
      <c r="F764" s="550"/>
      <c r="G764" s="550">
        <v>2829.4683173076924</v>
      </c>
      <c r="H764" s="550">
        <v>10968.048000000001</v>
      </c>
      <c r="I764" s="550">
        <v>7485.4534007999991</v>
      </c>
      <c r="J764" s="550">
        <v>14917.471199999998</v>
      </c>
      <c r="K764" s="550">
        <v>1120806.6463581077</v>
      </c>
      <c r="L764" s="550">
        <v>168120.99695371615</v>
      </c>
      <c r="M764" s="550">
        <v>1288927.6433118237</v>
      </c>
      <c r="N764" s="551">
        <v>38401.592650000006</v>
      </c>
    </row>
    <row r="765" spans="1:14" ht="50.1" customHeight="1">
      <c r="A765" s="546" t="s">
        <v>210</v>
      </c>
      <c r="B765" s="559" t="s">
        <v>327</v>
      </c>
      <c r="C765" s="548" t="s">
        <v>53</v>
      </c>
      <c r="D765" s="548"/>
      <c r="E765" s="550">
        <v>1045538.1545599999</v>
      </c>
      <c r="F765" s="550"/>
      <c r="G765" s="550">
        <v>2829.4683173076924</v>
      </c>
      <c r="H765" s="550">
        <v>10968.048000000001</v>
      </c>
      <c r="I765" s="550">
        <v>7485.4534007999991</v>
      </c>
      <c r="J765" s="550">
        <v>14917.471199999998</v>
      </c>
      <c r="K765" s="550">
        <v>1081738.5954781077</v>
      </c>
      <c r="L765" s="550">
        <v>162260.78932171615</v>
      </c>
      <c r="M765" s="550">
        <v>1243999.3847998239</v>
      </c>
      <c r="N765" s="551">
        <v>36955.394850000004</v>
      </c>
    </row>
    <row r="766" spans="1:14" ht="39.950000000000003" customHeight="1">
      <c r="A766" s="546" t="s">
        <v>296</v>
      </c>
      <c r="B766" s="559" t="s">
        <v>328</v>
      </c>
      <c r="C766" s="548" t="s">
        <v>53</v>
      </c>
      <c r="D766" s="548"/>
      <c r="E766" s="550">
        <v>1085044.1141199998</v>
      </c>
      <c r="F766" s="550"/>
      <c r="G766" s="550">
        <v>2829.4683173076924</v>
      </c>
      <c r="H766" s="550">
        <v>10968.048000000001</v>
      </c>
      <c r="I766" s="550">
        <v>7485.4534007999991</v>
      </c>
      <c r="J766" s="550">
        <v>14917.471199999998</v>
      </c>
      <c r="K766" s="550">
        <v>1121244.5550381076</v>
      </c>
      <c r="L766" s="550">
        <v>168186.68325571614</v>
      </c>
      <c r="M766" s="550">
        <v>1289431.2382938238</v>
      </c>
      <c r="N766" s="551">
        <v>38416.239700000006</v>
      </c>
    </row>
    <row r="767" spans="1:14" ht="39.950000000000003" customHeight="1">
      <c r="A767" s="546" t="s">
        <v>298</v>
      </c>
      <c r="B767" s="559" t="s">
        <v>303</v>
      </c>
      <c r="C767" s="548" t="s">
        <v>53</v>
      </c>
      <c r="D767" s="548"/>
      <c r="E767" s="550">
        <v>1046831.97566</v>
      </c>
      <c r="F767" s="550"/>
      <c r="G767" s="550">
        <v>2829.4683173076924</v>
      </c>
      <c r="H767" s="550">
        <v>10968.048000000001</v>
      </c>
      <c r="I767" s="550">
        <v>7485.4534007999991</v>
      </c>
      <c r="J767" s="550">
        <v>14917.471199999998</v>
      </c>
      <c r="K767" s="550">
        <v>1083032.4165781077</v>
      </c>
      <c r="L767" s="550">
        <v>162454.86248671616</v>
      </c>
      <c r="M767" s="550">
        <v>1245487.2790648239</v>
      </c>
      <c r="N767" s="551">
        <v>36998.670225000002</v>
      </c>
    </row>
    <row r="768" spans="1:14" ht="30" customHeight="1">
      <c r="A768" s="546" t="s">
        <v>300</v>
      </c>
      <c r="B768" s="559" t="s">
        <v>305</v>
      </c>
      <c r="C768" s="548" t="s">
        <v>53</v>
      </c>
      <c r="D768" s="548"/>
      <c r="E768" s="550">
        <v>1088234.9363200001</v>
      </c>
      <c r="F768" s="550"/>
      <c r="G768" s="550">
        <v>2829.4683173076924</v>
      </c>
      <c r="H768" s="550">
        <v>10968.048000000001</v>
      </c>
      <c r="I768" s="550">
        <v>7485.4534007999991</v>
      </c>
      <c r="J768" s="550">
        <v>14917.471199999998</v>
      </c>
      <c r="K768" s="550">
        <v>1124435.3772381078</v>
      </c>
      <c r="L768" s="550">
        <v>168665.30658571617</v>
      </c>
      <c r="M768" s="550">
        <v>1293100.6838238239</v>
      </c>
      <c r="N768" s="551">
        <v>38522.965450000003</v>
      </c>
    </row>
    <row r="769" spans="1:14" ht="30" customHeight="1">
      <c r="A769" s="546" t="s">
        <v>302</v>
      </c>
      <c r="B769" s="559" t="s">
        <v>329</v>
      </c>
      <c r="C769" s="548" t="s">
        <v>53</v>
      </c>
      <c r="D769" s="548"/>
      <c r="E769" s="550">
        <v>1083477.6556599999</v>
      </c>
      <c r="F769" s="550"/>
      <c r="G769" s="550">
        <v>2829.4683173076924</v>
      </c>
      <c r="H769" s="550">
        <v>10968.048000000001</v>
      </c>
      <c r="I769" s="550">
        <v>7485.4534007999991</v>
      </c>
      <c r="J769" s="550">
        <v>14917.471199999998</v>
      </c>
      <c r="K769" s="550">
        <v>1119678.0965781077</v>
      </c>
      <c r="L769" s="550">
        <v>167951.71448671614</v>
      </c>
      <c r="M769" s="550">
        <v>1287629.8110648238</v>
      </c>
      <c r="N769" s="551">
        <v>38363.845225000005</v>
      </c>
    </row>
    <row r="770" spans="1:14" ht="99.95" customHeight="1">
      <c r="A770" s="546" t="s">
        <v>304</v>
      </c>
      <c r="B770" s="559" t="s">
        <v>309</v>
      </c>
      <c r="C770" s="548" t="s">
        <v>53</v>
      </c>
      <c r="D770" s="548"/>
      <c r="E770" s="550">
        <v>1084168.2967599998</v>
      </c>
      <c r="F770" s="550"/>
      <c r="G770" s="550">
        <v>2829.4683173076924</v>
      </c>
      <c r="H770" s="550">
        <v>10968.048000000001</v>
      </c>
      <c r="I770" s="550">
        <v>7485.4534007999991</v>
      </c>
      <c r="J770" s="550">
        <v>14917.471199999998</v>
      </c>
      <c r="K770" s="550">
        <v>1120368.7376781076</v>
      </c>
      <c r="L770" s="550">
        <v>168055.31065171614</v>
      </c>
      <c r="M770" s="550">
        <v>1288424.0483298237</v>
      </c>
      <c r="N770" s="551">
        <v>38386.945600000006</v>
      </c>
    </row>
    <row r="771" spans="1:14" ht="39.950000000000003" customHeight="1">
      <c r="A771" s="546" t="s">
        <v>306</v>
      </c>
      <c r="B771" s="559" t="s">
        <v>311</v>
      </c>
      <c r="C771" s="548" t="s">
        <v>53</v>
      </c>
      <c r="D771" s="548"/>
      <c r="E771" s="550">
        <v>1089363.4860999999</v>
      </c>
      <c r="F771" s="550"/>
      <c r="G771" s="550">
        <v>2829.4683173076924</v>
      </c>
      <c r="H771" s="550">
        <v>10968.048000000001</v>
      </c>
      <c r="I771" s="550">
        <v>7485.4534007999991</v>
      </c>
      <c r="J771" s="550">
        <v>14917.471199999998</v>
      </c>
      <c r="K771" s="550">
        <v>1125563.9270181076</v>
      </c>
      <c r="L771" s="550">
        <v>168834.58905271612</v>
      </c>
      <c r="M771" s="550">
        <v>1294398.5160708237</v>
      </c>
      <c r="N771" s="551">
        <v>38560.712875000005</v>
      </c>
    </row>
    <row r="772" spans="1:14" ht="39.950000000000003" customHeight="1">
      <c r="A772" s="546" t="s">
        <v>308</v>
      </c>
      <c r="B772" s="559" t="s">
        <v>313</v>
      </c>
      <c r="C772" s="548" t="s">
        <v>53</v>
      </c>
      <c r="D772" s="548"/>
      <c r="E772" s="550">
        <v>1048344.7511</v>
      </c>
      <c r="F772" s="550"/>
      <c r="G772" s="550">
        <v>2829.4683173076924</v>
      </c>
      <c r="H772" s="550">
        <v>10968.048000000001</v>
      </c>
      <c r="I772" s="550">
        <v>7485.4534007999991</v>
      </c>
      <c r="J772" s="550">
        <v>14917.471199999998</v>
      </c>
      <c r="K772" s="550">
        <v>1084545.1920181077</v>
      </c>
      <c r="L772" s="550">
        <v>162681.77880271614</v>
      </c>
      <c r="M772" s="550">
        <v>1247226.9708208239</v>
      </c>
      <c r="N772" s="551">
        <v>37049.269125000006</v>
      </c>
    </row>
    <row r="773" spans="1:14" ht="39.950000000000003" customHeight="1">
      <c r="A773" s="546" t="s">
        <v>310</v>
      </c>
      <c r="B773" s="559" t="s">
        <v>315</v>
      </c>
      <c r="C773" s="548" t="s">
        <v>53</v>
      </c>
      <c r="D773" s="548"/>
      <c r="E773" s="550">
        <v>1044662.3372</v>
      </c>
      <c r="F773" s="550"/>
      <c r="G773" s="550">
        <v>2829.4683173076924</v>
      </c>
      <c r="H773" s="550">
        <v>10968.048000000001</v>
      </c>
      <c r="I773" s="550">
        <v>7485.4534007999991</v>
      </c>
      <c r="J773" s="550">
        <v>14917.471199999998</v>
      </c>
      <c r="K773" s="550">
        <v>1080862.7781181077</v>
      </c>
      <c r="L773" s="550">
        <v>162129.41671771614</v>
      </c>
      <c r="M773" s="550">
        <v>1242992.194835824</v>
      </c>
      <c r="N773" s="551">
        <v>36926.100750000005</v>
      </c>
    </row>
    <row r="774" spans="1:14" ht="30" customHeight="1">
      <c r="A774" s="546" t="s">
        <v>312</v>
      </c>
      <c r="B774" s="559" t="s">
        <v>317</v>
      </c>
      <c r="C774" s="548" t="s">
        <v>53</v>
      </c>
      <c r="D774" s="548"/>
      <c r="E774" s="550">
        <v>222383.21544</v>
      </c>
      <c r="F774" s="550"/>
      <c r="G774" s="550">
        <v>2829.4683173076924</v>
      </c>
      <c r="H774" s="550">
        <v>10968.048000000001</v>
      </c>
      <c r="I774" s="550">
        <v>7485.4534007999991</v>
      </c>
      <c r="J774" s="550">
        <v>14917.471199999998</v>
      </c>
      <c r="K774" s="550">
        <v>258583.65635810772</v>
      </c>
      <c r="L774" s="550">
        <v>38787.548453716154</v>
      </c>
      <c r="M774" s="550">
        <v>297371.2048118239</v>
      </c>
      <c r="N774" s="551">
        <v>8028.13015</v>
      </c>
    </row>
    <row r="775" spans="1:14" ht="35.1" customHeight="1">
      <c r="A775" s="587"/>
      <c r="B775" s="1837" t="s">
        <v>518</v>
      </c>
      <c r="C775" s="1837"/>
      <c r="D775" s="1837"/>
      <c r="E775" s="1837"/>
      <c r="F775" s="1837"/>
      <c r="G775" s="1837"/>
      <c r="H775" s="1837"/>
      <c r="I775" s="1837"/>
      <c r="J775" s="1837"/>
      <c r="K775" s="1837"/>
      <c r="L775" s="1837"/>
      <c r="M775" s="1837"/>
      <c r="N775" s="1838"/>
    </row>
    <row r="776" spans="1:14" ht="35.1" customHeight="1">
      <c r="A776" s="587"/>
      <c r="B776" s="588"/>
      <c r="C776" s="588" t="s">
        <v>53</v>
      </c>
      <c r="D776" s="588" t="s">
        <v>32</v>
      </c>
      <c r="E776" s="537">
        <v>1582197.5999999999</v>
      </c>
      <c r="F776" s="537">
        <v>0</v>
      </c>
      <c r="G776" s="537">
        <v>6130.5146875000009</v>
      </c>
      <c r="H776" s="537">
        <v>23764.104000000003</v>
      </c>
      <c r="I776" s="537">
        <v>16218.4823684</v>
      </c>
      <c r="J776" s="537">
        <v>32321.187599999997</v>
      </c>
      <c r="K776" s="537">
        <v>1660631.8886559</v>
      </c>
      <c r="L776" s="537">
        <v>249094.78329838498</v>
      </c>
      <c r="M776" s="537">
        <v>1909726.6719542849</v>
      </c>
      <c r="N776" s="538">
        <v>55514.875000000007</v>
      </c>
    </row>
    <row r="777" spans="1:14" ht="35.1" customHeight="1">
      <c r="A777" s="539" t="s">
        <v>246</v>
      </c>
      <c r="B777" s="545" t="s">
        <v>196</v>
      </c>
      <c r="C777" s="540" t="s">
        <v>53</v>
      </c>
      <c r="D777" s="541">
        <v>0</v>
      </c>
      <c r="E777" s="542">
        <v>1488487.0999999999</v>
      </c>
      <c r="F777" s="542"/>
      <c r="G777" s="542">
        <v>6101.3553125000008</v>
      </c>
      <c r="H777" s="542">
        <v>23764.104000000003</v>
      </c>
      <c r="I777" s="542">
        <v>16218.4823684</v>
      </c>
      <c r="J777" s="542">
        <v>32285.853599999999</v>
      </c>
      <c r="K777" s="542">
        <v>1566856.8952808999</v>
      </c>
      <c r="L777" s="542">
        <v>235028.53429213498</v>
      </c>
      <c r="M777" s="542">
        <v>1801885.4295730349</v>
      </c>
      <c r="N777" s="543">
        <v>52017.875000000007</v>
      </c>
    </row>
    <row r="778" spans="1:14" ht="35.1" customHeight="1">
      <c r="A778" s="539" t="s">
        <v>247</v>
      </c>
      <c r="B778" s="545" t="s">
        <v>166</v>
      </c>
      <c r="C778" s="540" t="s">
        <v>53</v>
      </c>
      <c r="D778" s="541">
        <v>0</v>
      </c>
      <c r="E778" s="542">
        <v>70282.875</v>
      </c>
      <c r="F778" s="542"/>
      <c r="G778" s="542">
        <v>0</v>
      </c>
      <c r="H778" s="542">
        <v>0</v>
      </c>
      <c r="I778" s="542">
        <v>0</v>
      </c>
      <c r="J778" s="542">
        <v>0</v>
      </c>
      <c r="K778" s="542">
        <v>70282.875</v>
      </c>
      <c r="L778" s="542">
        <v>10542.43125</v>
      </c>
      <c r="M778" s="542">
        <v>80825.306249999994</v>
      </c>
      <c r="N778" s="543">
        <v>2622.75</v>
      </c>
    </row>
    <row r="779" spans="1:14" ht="35.1" customHeight="1">
      <c r="A779" s="539" t="s">
        <v>248</v>
      </c>
      <c r="B779" s="545" t="s">
        <v>140</v>
      </c>
      <c r="C779" s="540" t="s">
        <v>53</v>
      </c>
      <c r="D779" s="541">
        <v>0</v>
      </c>
      <c r="E779" s="542">
        <v>23427.625</v>
      </c>
      <c r="F779" s="542"/>
      <c r="G779" s="542">
        <v>29.159374999999997</v>
      </c>
      <c r="H779" s="542">
        <v>0</v>
      </c>
      <c r="I779" s="542">
        <v>0</v>
      </c>
      <c r="J779" s="542">
        <v>35.334000000000003</v>
      </c>
      <c r="K779" s="542">
        <v>23492.118374999998</v>
      </c>
      <c r="L779" s="542">
        <v>3523.8177562499995</v>
      </c>
      <c r="M779" s="542">
        <v>27015.936131249997</v>
      </c>
      <c r="N779" s="543">
        <v>874.25</v>
      </c>
    </row>
    <row r="780" spans="1:14" ht="30" customHeight="1">
      <c r="A780" s="539" t="s">
        <v>259</v>
      </c>
      <c r="B780" s="545" t="s">
        <v>258</v>
      </c>
      <c r="C780" s="540">
        <v>0</v>
      </c>
      <c r="D780" s="540">
        <v>0</v>
      </c>
      <c r="E780" s="542"/>
      <c r="F780" s="542"/>
      <c r="G780" s="542"/>
      <c r="H780" s="542"/>
      <c r="I780" s="542"/>
      <c r="J780" s="542"/>
      <c r="K780" s="542"/>
      <c r="L780" s="542"/>
      <c r="M780" s="542"/>
      <c r="N780" s="543"/>
    </row>
    <row r="781" spans="1:14" ht="80.099999999999994" customHeight="1">
      <c r="A781" s="578" t="s">
        <v>33</v>
      </c>
      <c r="B781" s="1839" t="s">
        <v>260</v>
      </c>
      <c r="C781" s="1839">
        <v>0</v>
      </c>
      <c r="D781" s="1839">
        <v>0</v>
      </c>
      <c r="E781" s="570"/>
      <c r="F781" s="570"/>
      <c r="G781" s="570"/>
      <c r="H781" s="570"/>
      <c r="I781" s="570"/>
      <c r="J781" s="570"/>
      <c r="K781" s="570"/>
      <c r="L781" s="570"/>
      <c r="M781" s="570"/>
      <c r="N781" s="571"/>
    </row>
    <row r="782" spans="1:14" ht="80.099999999999994" customHeight="1">
      <c r="A782" s="578" t="s">
        <v>34</v>
      </c>
      <c r="B782" s="1839" t="s">
        <v>323</v>
      </c>
      <c r="C782" s="1839">
        <v>0</v>
      </c>
      <c r="D782" s="1839">
        <v>0</v>
      </c>
      <c r="E782" s="570"/>
      <c r="F782" s="570"/>
      <c r="G782" s="570"/>
      <c r="H782" s="570"/>
      <c r="I782" s="570"/>
      <c r="J782" s="570"/>
      <c r="K782" s="570"/>
      <c r="L782" s="570"/>
      <c r="M782" s="570"/>
      <c r="N782" s="571"/>
    </row>
    <row r="783" spans="1:14" ht="50.1" customHeight="1">
      <c r="A783" s="546" t="s">
        <v>33</v>
      </c>
      <c r="B783" s="559" t="s">
        <v>279</v>
      </c>
      <c r="C783" s="548" t="s">
        <v>53</v>
      </c>
      <c r="D783" s="548"/>
      <c r="E783" s="550">
        <v>1356875.2964399999</v>
      </c>
      <c r="F783" s="550"/>
      <c r="G783" s="550">
        <v>3678.3088125000004</v>
      </c>
      <c r="H783" s="550">
        <v>14258.462400000002</v>
      </c>
      <c r="I783" s="550">
        <v>9731.0894210399983</v>
      </c>
      <c r="J783" s="550">
        <v>19392.71256</v>
      </c>
      <c r="K783" s="550">
        <v>1403935.8696335398</v>
      </c>
      <c r="L783" s="550">
        <v>210590.38044503095</v>
      </c>
      <c r="M783" s="550">
        <v>1614526.2500785708</v>
      </c>
      <c r="N783" s="551">
        <v>47911.415150000001</v>
      </c>
    </row>
    <row r="784" spans="1:14" ht="50.1" customHeight="1">
      <c r="A784" s="546" t="s">
        <v>34</v>
      </c>
      <c r="B784" s="559" t="s">
        <v>280</v>
      </c>
      <c r="C784" s="548" t="s">
        <v>53</v>
      </c>
      <c r="D784" s="548"/>
      <c r="E784" s="550">
        <v>1354860.8762999999</v>
      </c>
      <c r="F784" s="550"/>
      <c r="G784" s="550">
        <v>3678.3088125000004</v>
      </c>
      <c r="H784" s="550">
        <v>14258.462400000002</v>
      </c>
      <c r="I784" s="550">
        <v>9731.0894210399983</v>
      </c>
      <c r="J784" s="550">
        <v>19392.71256</v>
      </c>
      <c r="K784" s="550">
        <v>1401921.4494935398</v>
      </c>
      <c r="L784" s="550">
        <v>210288.21742403097</v>
      </c>
      <c r="M784" s="550">
        <v>1612209.6669175706</v>
      </c>
      <c r="N784" s="551">
        <v>47844.037375</v>
      </c>
    </row>
    <row r="785" spans="1:14" ht="39.950000000000003" customHeight="1">
      <c r="A785" s="546" t="s">
        <v>35</v>
      </c>
      <c r="B785" s="559" t="s">
        <v>281</v>
      </c>
      <c r="C785" s="548" t="s">
        <v>53</v>
      </c>
      <c r="D785" s="548"/>
      <c r="E785" s="550">
        <v>1340572.5474</v>
      </c>
      <c r="F785" s="550"/>
      <c r="G785" s="550">
        <v>3678.3088125000004</v>
      </c>
      <c r="H785" s="550">
        <v>14258.462400000002</v>
      </c>
      <c r="I785" s="550">
        <v>9731.0894210399983</v>
      </c>
      <c r="J785" s="550">
        <v>19392.71256</v>
      </c>
      <c r="K785" s="550">
        <v>1387633.1205935399</v>
      </c>
      <c r="L785" s="550">
        <v>208144.96808903097</v>
      </c>
      <c r="M785" s="550">
        <v>1595778.088682571</v>
      </c>
      <c r="N785" s="551">
        <v>47366.125250000005</v>
      </c>
    </row>
    <row r="786" spans="1:14" ht="39.950000000000003" customHeight="1">
      <c r="A786" s="546" t="s">
        <v>158</v>
      </c>
      <c r="B786" s="559" t="s">
        <v>282</v>
      </c>
      <c r="C786" s="548" t="s">
        <v>53</v>
      </c>
      <c r="D786" s="548"/>
      <c r="E786" s="550">
        <v>162147.79218000002</v>
      </c>
      <c r="F786" s="550"/>
      <c r="G786" s="550">
        <v>3678.3088125000004</v>
      </c>
      <c r="H786" s="550">
        <v>14258.462400000002</v>
      </c>
      <c r="I786" s="550">
        <v>9731.0894210399983</v>
      </c>
      <c r="J786" s="550">
        <v>19392.71256</v>
      </c>
      <c r="K786" s="550">
        <v>209208.36537354003</v>
      </c>
      <c r="L786" s="550">
        <v>31381.254806031004</v>
      </c>
      <c r="M786" s="550">
        <v>240589.62017957104</v>
      </c>
      <c r="N786" s="551">
        <v>5695.4226749999998</v>
      </c>
    </row>
    <row r="787" spans="1:14" ht="50.1" customHeight="1">
      <c r="A787" s="546" t="s">
        <v>159</v>
      </c>
      <c r="B787" s="559" t="s">
        <v>324</v>
      </c>
      <c r="C787" s="548" t="s">
        <v>53</v>
      </c>
      <c r="D787" s="548"/>
      <c r="E787" s="550">
        <v>160562.03196000002</v>
      </c>
      <c r="F787" s="550"/>
      <c r="G787" s="550">
        <v>3678.3088125000004</v>
      </c>
      <c r="H787" s="550">
        <v>14258.462400000002</v>
      </c>
      <c r="I787" s="550">
        <v>9731.0894210399983</v>
      </c>
      <c r="J787" s="550">
        <v>19392.71256</v>
      </c>
      <c r="K787" s="550">
        <v>207622.60515354003</v>
      </c>
      <c r="L787" s="550">
        <v>31143.390773031002</v>
      </c>
      <c r="M787" s="550">
        <v>238765.99592657102</v>
      </c>
      <c r="N787" s="551">
        <v>5642.3825999999999</v>
      </c>
    </row>
    <row r="788" spans="1:14" ht="80.099999999999994" customHeight="1">
      <c r="A788" s="546" t="s">
        <v>160</v>
      </c>
      <c r="B788" s="559" t="s">
        <v>325</v>
      </c>
      <c r="C788" s="548" t="s">
        <v>53</v>
      </c>
      <c r="D788" s="548"/>
      <c r="E788" s="550">
        <v>1352799.6091799999</v>
      </c>
      <c r="F788" s="550"/>
      <c r="G788" s="550">
        <v>3678.3088125000004</v>
      </c>
      <c r="H788" s="550">
        <v>14258.462400000002</v>
      </c>
      <c r="I788" s="550">
        <v>9731.0894210399983</v>
      </c>
      <c r="J788" s="550">
        <v>19392.71256</v>
      </c>
      <c r="K788" s="550">
        <v>1399860.1823735398</v>
      </c>
      <c r="L788" s="550">
        <v>209979.02735603097</v>
      </c>
      <c r="M788" s="550">
        <v>1609839.2097295707</v>
      </c>
      <c r="N788" s="551">
        <v>47775.092675</v>
      </c>
    </row>
    <row r="789" spans="1:14" ht="39.950000000000003" customHeight="1">
      <c r="A789" s="546" t="s">
        <v>161</v>
      </c>
      <c r="B789" s="559" t="s">
        <v>285</v>
      </c>
      <c r="C789" s="548" t="s">
        <v>53</v>
      </c>
      <c r="D789" s="548"/>
      <c r="E789" s="550">
        <v>1341603.18096</v>
      </c>
      <c r="F789" s="550"/>
      <c r="G789" s="550">
        <v>3678.3088125000004</v>
      </c>
      <c r="H789" s="550">
        <v>14258.462400000002</v>
      </c>
      <c r="I789" s="550">
        <v>9731.0894210399983</v>
      </c>
      <c r="J789" s="550">
        <v>19392.71256</v>
      </c>
      <c r="K789" s="550">
        <v>1388663.7541535399</v>
      </c>
      <c r="L789" s="550">
        <v>208299.56312303097</v>
      </c>
      <c r="M789" s="550">
        <v>1596963.3172765709</v>
      </c>
      <c r="N789" s="551">
        <v>47400.597600000001</v>
      </c>
    </row>
    <row r="790" spans="1:14" ht="39.950000000000003" customHeight="1">
      <c r="A790" s="546" t="s">
        <v>162</v>
      </c>
      <c r="B790" s="559" t="s">
        <v>287</v>
      </c>
      <c r="C790" s="548" t="s">
        <v>53</v>
      </c>
      <c r="D790" s="548"/>
      <c r="E790" s="550">
        <v>1396609.8054799999</v>
      </c>
      <c r="F790" s="550"/>
      <c r="G790" s="550">
        <v>3678.3088125000004</v>
      </c>
      <c r="H790" s="550">
        <v>14258.462400000002</v>
      </c>
      <c r="I790" s="550">
        <v>9731.0894210399983</v>
      </c>
      <c r="J790" s="550">
        <v>19392.71256</v>
      </c>
      <c r="K790" s="550">
        <v>1443670.3786735397</v>
      </c>
      <c r="L790" s="550">
        <v>216550.55680103097</v>
      </c>
      <c r="M790" s="550">
        <v>1660220.9354745706</v>
      </c>
      <c r="N790" s="551">
        <v>49421.742550000003</v>
      </c>
    </row>
    <row r="791" spans="1:14" ht="39.950000000000003" customHeight="1">
      <c r="A791" s="546" t="s">
        <v>165</v>
      </c>
      <c r="B791" s="559" t="s">
        <v>290</v>
      </c>
      <c r="C791" s="548" t="s">
        <v>53</v>
      </c>
      <c r="D791" s="548"/>
      <c r="E791" s="550">
        <v>1398671.0725999998</v>
      </c>
      <c r="F791" s="550"/>
      <c r="G791" s="550">
        <v>3678.3088125000004</v>
      </c>
      <c r="H791" s="550">
        <v>14258.462400000002</v>
      </c>
      <c r="I791" s="550">
        <v>9731.0894210399983</v>
      </c>
      <c r="J791" s="550">
        <v>19392.71256</v>
      </c>
      <c r="K791" s="550">
        <v>1445731.6457935397</v>
      </c>
      <c r="L791" s="550">
        <v>216859.74686903096</v>
      </c>
      <c r="M791" s="550">
        <v>1662591.3926625706</v>
      </c>
      <c r="N791" s="551">
        <v>49490.687250000003</v>
      </c>
    </row>
    <row r="792" spans="1:14" ht="39.950000000000003" customHeight="1">
      <c r="A792" s="546" t="s">
        <v>37</v>
      </c>
      <c r="B792" s="559" t="s">
        <v>291</v>
      </c>
      <c r="C792" s="548" t="s">
        <v>53</v>
      </c>
      <c r="D792" s="548"/>
      <c r="E792" s="550">
        <v>1397640.4390399999</v>
      </c>
      <c r="F792" s="550"/>
      <c r="G792" s="550">
        <v>3678.3088125000004</v>
      </c>
      <c r="H792" s="550">
        <v>14258.462400000002</v>
      </c>
      <c r="I792" s="550">
        <v>9731.0894210399983</v>
      </c>
      <c r="J792" s="550">
        <v>19392.71256</v>
      </c>
      <c r="K792" s="550">
        <v>1444701.0122335397</v>
      </c>
      <c r="L792" s="550">
        <v>216705.15183503096</v>
      </c>
      <c r="M792" s="550">
        <v>1661406.1640685706</v>
      </c>
      <c r="N792" s="551">
        <v>49456.214900000006</v>
      </c>
    </row>
    <row r="793" spans="1:14" ht="39.950000000000003" customHeight="1">
      <c r="A793" s="546" t="s">
        <v>38</v>
      </c>
      <c r="B793" s="559" t="s">
        <v>292</v>
      </c>
      <c r="C793" s="548" t="s">
        <v>53</v>
      </c>
      <c r="D793" s="548"/>
      <c r="E793" s="550">
        <v>1398671.0725999998</v>
      </c>
      <c r="F793" s="550"/>
      <c r="G793" s="550">
        <v>3678.3088125000004</v>
      </c>
      <c r="H793" s="550">
        <v>14258.462400000002</v>
      </c>
      <c r="I793" s="550">
        <v>9731.0894210399983</v>
      </c>
      <c r="J793" s="550">
        <v>19392.71256</v>
      </c>
      <c r="K793" s="550">
        <v>1445731.6457935397</v>
      </c>
      <c r="L793" s="550">
        <v>216859.74686903096</v>
      </c>
      <c r="M793" s="550">
        <v>1662591.3926625706</v>
      </c>
      <c r="N793" s="551">
        <v>49490.687250000003</v>
      </c>
    </row>
    <row r="794" spans="1:14" ht="39.950000000000003" customHeight="1">
      <c r="A794" s="546" t="s">
        <v>184</v>
      </c>
      <c r="B794" s="559" t="s">
        <v>293</v>
      </c>
      <c r="C794" s="548" t="s">
        <v>53</v>
      </c>
      <c r="D794" s="548"/>
      <c r="E794" s="550">
        <v>1396609.8054799999</v>
      </c>
      <c r="F794" s="550"/>
      <c r="G794" s="550">
        <v>3678.3088125000004</v>
      </c>
      <c r="H794" s="550">
        <v>14258.462400000002</v>
      </c>
      <c r="I794" s="550">
        <v>9731.0894210399983</v>
      </c>
      <c r="J794" s="550">
        <v>19392.71256</v>
      </c>
      <c r="K794" s="550">
        <v>1443670.3786735397</v>
      </c>
      <c r="L794" s="550">
        <v>216550.55680103097</v>
      </c>
      <c r="M794" s="550">
        <v>1660220.9354745706</v>
      </c>
      <c r="N794" s="551">
        <v>49421.742550000003</v>
      </c>
    </row>
    <row r="795" spans="1:14" ht="50.1" customHeight="1">
      <c r="A795" s="546" t="s">
        <v>185</v>
      </c>
      <c r="B795" s="559" t="s">
        <v>294</v>
      </c>
      <c r="C795" s="548" t="s">
        <v>53</v>
      </c>
      <c r="D795" s="548"/>
      <c r="E795" s="550">
        <v>1396609.8054799999</v>
      </c>
      <c r="F795" s="550"/>
      <c r="G795" s="550">
        <v>3678.3088125000004</v>
      </c>
      <c r="H795" s="550">
        <v>14258.462400000002</v>
      </c>
      <c r="I795" s="550">
        <v>9731.0894210399983</v>
      </c>
      <c r="J795" s="550">
        <v>19392.71256</v>
      </c>
      <c r="K795" s="550">
        <v>1443670.3786735397</v>
      </c>
      <c r="L795" s="550">
        <v>216550.55680103097</v>
      </c>
      <c r="M795" s="550">
        <v>1660220.9354745706</v>
      </c>
      <c r="N795" s="551">
        <v>49421.742550000003</v>
      </c>
    </row>
    <row r="796" spans="1:14" ht="50.1" customHeight="1">
      <c r="A796" s="546" t="s">
        <v>187</v>
      </c>
      <c r="B796" s="559" t="s">
        <v>295</v>
      </c>
      <c r="C796" s="548" t="s">
        <v>53</v>
      </c>
      <c r="D796" s="548"/>
      <c r="E796" s="550">
        <v>1396609.8054799999</v>
      </c>
      <c r="F796" s="550"/>
      <c r="G796" s="550">
        <v>3678.3088125000004</v>
      </c>
      <c r="H796" s="550">
        <v>14258.462400000002</v>
      </c>
      <c r="I796" s="550">
        <v>9731.0894210399983</v>
      </c>
      <c r="J796" s="550">
        <v>19392.71256</v>
      </c>
      <c r="K796" s="550">
        <v>1443670.3786735397</v>
      </c>
      <c r="L796" s="550">
        <v>216550.55680103097</v>
      </c>
      <c r="M796" s="550">
        <v>1660220.9354745706</v>
      </c>
      <c r="N796" s="551">
        <v>49421.742550000003</v>
      </c>
    </row>
    <row r="797" spans="1:14" ht="39.950000000000003" customHeight="1">
      <c r="A797" s="546" t="s">
        <v>194</v>
      </c>
      <c r="B797" s="559" t="s">
        <v>297</v>
      </c>
      <c r="C797" s="548" t="s">
        <v>53</v>
      </c>
      <c r="D797" s="548"/>
      <c r="E797" s="550">
        <v>1396609.8054799999</v>
      </c>
      <c r="F797" s="550"/>
      <c r="G797" s="550">
        <v>3678.3088125000004</v>
      </c>
      <c r="H797" s="550">
        <v>14258.462400000002</v>
      </c>
      <c r="I797" s="550">
        <v>9731.0894210399983</v>
      </c>
      <c r="J797" s="550">
        <v>19392.71256</v>
      </c>
      <c r="K797" s="550">
        <v>1443670.3786735397</v>
      </c>
      <c r="L797" s="550">
        <v>216550.55680103097</v>
      </c>
      <c r="M797" s="550">
        <v>1660220.9354745706</v>
      </c>
      <c r="N797" s="551">
        <v>49421.742550000003</v>
      </c>
    </row>
    <row r="798" spans="1:14" ht="39.950000000000003" customHeight="1">
      <c r="A798" s="546" t="s">
        <v>195</v>
      </c>
      <c r="B798" s="559" t="s">
        <v>326</v>
      </c>
      <c r="C798" s="548" t="s">
        <v>53</v>
      </c>
      <c r="D798" s="548"/>
      <c r="E798" s="550">
        <v>1396609.8054799999</v>
      </c>
      <c r="F798" s="550"/>
      <c r="G798" s="550">
        <v>3678.3088125000004</v>
      </c>
      <c r="H798" s="550">
        <v>14258.462400000002</v>
      </c>
      <c r="I798" s="550">
        <v>9731.0894210399983</v>
      </c>
      <c r="J798" s="550">
        <v>19392.71256</v>
      </c>
      <c r="K798" s="550">
        <v>1443670.3786735397</v>
      </c>
      <c r="L798" s="550">
        <v>216550.55680103097</v>
      </c>
      <c r="M798" s="550">
        <v>1660220.9354745706</v>
      </c>
      <c r="N798" s="551">
        <v>49421.742550000003</v>
      </c>
    </row>
    <row r="799" spans="1:14" ht="50.1" customHeight="1">
      <c r="A799" s="546" t="s">
        <v>210</v>
      </c>
      <c r="B799" s="559" t="s">
        <v>327</v>
      </c>
      <c r="C799" s="548" t="s">
        <v>53</v>
      </c>
      <c r="D799" s="548"/>
      <c r="E799" s="550">
        <v>1342633.81452</v>
      </c>
      <c r="F799" s="550"/>
      <c r="G799" s="550">
        <v>3678.3088125000004</v>
      </c>
      <c r="H799" s="550">
        <v>14258.462400000002</v>
      </c>
      <c r="I799" s="550">
        <v>9731.0894210399983</v>
      </c>
      <c r="J799" s="550">
        <v>19392.71256</v>
      </c>
      <c r="K799" s="550">
        <v>1389694.3877135399</v>
      </c>
      <c r="L799" s="550">
        <v>208454.15815703096</v>
      </c>
      <c r="M799" s="550">
        <v>1598148.5458705709</v>
      </c>
      <c r="N799" s="551">
        <v>47435.069950000005</v>
      </c>
    </row>
    <row r="800" spans="1:14" ht="39.950000000000003" customHeight="1">
      <c r="A800" s="546" t="s">
        <v>296</v>
      </c>
      <c r="B800" s="559" t="s">
        <v>328</v>
      </c>
      <c r="C800" s="548" t="s">
        <v>53</v>
      </c>
      <c r="D800" s="548"/>
      <c r="E800" s="550">
        <v>1397640.4390399999</v>
      </c>
      <c r="F800" s="550"/>
      <c r="G800" s="550">
        <v>3678.3088125000004</v>
      </c>
      <c r="H800" s="550">
        <v>14258.462400000002</v>
      </c>
      <c r="I800" s="550">
        <v>9731.0894210399983</v>
      </c>
      <c r="J800" s="550">
        <v>19392.71256</v>
      </c>
      <c r="K800" s="550">
        <v>1444701.0122335397</v>
      </c>
      <c r="L800" s="550">
        <v>216705.15183503096</v>
      </c>
      <c r="M800" s="550">
        <v>1661406.1640685706</v>
      </c>
      <c r="N800" s="551">
        <v>49456.214900000006</v>
      </c>
    </row>
    <row r="801" spans="1:14" ht="39.950000000000003" customHeight="1">
      <c r="A801" s="546" t="s">
        <v>298</v>
      </c>
      <c r="B801" s="559" t="s">
        <v>303</v>
      </c>
      <c r="C801" s="548" t="s">
        <v>53</v>
      </c>
      <c r="D801" s="548"/>
      <c r="E801" s="550">
        <v>1345678.8682200001</v>
      </c>
      <c r="F801" s="550"/>
      <c r="G801" s="550">
        <v>3678.3088125000004</v>
      </c>
      <c r="H801" s="550">
        <v>14258.462400000002</v>
      </c>
      <c r="I801" s="550">
        <v>9731.0894210399983</v>
      </c>
      <c r="J801" s="550">
        <v>19392.71256</v>
      </c>
      <c r="K801" s="550">
        <v>1392739.4414135399</v>
      </c>
      <c r="L801" s="550">
        <v>208910.91621203098</v>
      </c>
      <c r="M801" s="550">
        <v>1601650.3576255708</v>
      </c>
      <c r="N801" s="551">
        <v>47536.920075000002</v>
      </c>
    </row>
    <row r="802" spans="1:14" ht="39.950000000000003" customHeight="1">
      <c r="A802" s="546" t="s">
        <v>300</v>
      </c>
      <c r="B802" s="559" t="s">
        <v>305</v>
      </c>
      <c r="C802" s="548" t="s">
        <v>53</v>
      </c>
      <c r="D802" s="548"/>
      <c r="E802" s="550">
        <v>1404333.7264399999</v>
      </c>
      <c r="F802" s="550"/>
      <c r="G802" s="550">
        <v>3678.3088125000004</v>
      </c>
      <c r="H802" s="550">
        <v>14258.462400000002</v>
      </c>
      <c r="I802" s="550">
        <v>9731.0894210399983</v>
      </c>
      <c r="J802" s="550">
        <v>19392.71256</v>
      </c>
      <c r="K802" s="550">
        <v>1451394.2996335397</v>
      </c>
      <c r="L802" s="550">
        <v>217709.14494503094</v>
      </c>
      <c r="M802" s="550">
        <v>1669103.4445785708</v>
      </c>
      <c r="N802" s="551">
        <v>49680.090150000004</v>
      </c>
    </row>
    <row r="803" spans="1:14" ht="39.950000000000003" customHeight="1">
      <c r="A803" s="546" t="s">
        <v>302</v>
      </c>
      <c r="B803" s="559" t="s">
        <v>329</v>
      </c>
      <c r="C803" s="548" t="s">
        <v>53</v>
      </c>
      <c r="D803" s="548"/>
      <c r="E803" s="550">
        <v>1393137.2982199998</v>
      </c>
      <c r="F803" s="550"/>
      <c r="G803" s="550">
        <v>3678.3088125000004</v>
      </c>
      <c r="H803" s="550">
        <v>14258.462400000002</v>
      </c>
      <c r="I803" s="550">
        <v>9731.0894210399983</v>
      </c>
      <c r="J803" s="550">
        <v>19392.71256</v>
      </c>
      <c r="K803" s="550">
        <v>1440197.8714135396</v>
      </c>
      <c r="L803" s="550">
        <v>216029.68071203094</v>
      </c>
      <c r="M803" s="550">
        <v>1656227.5521255706</v>
      </c>
      <c r="N803" s="551">
        <v>49305.595075000005</v>
      </c>
    </row>
    <row r="804" spans="1:14" ht="99.95" customHeight="1">
      <c r="A804" s="546" t="s">
        <v>304</v>
      </c>
      <c r="B804" s="559" t="s">
        <v>309</v>
      </c>
      <c r="C804" s="548" t="s">
        <v>53</v>
      </c>
      <c r="D804" s="548"/>
      <c r="E804" s="550">
        <v>1395579.1719199999</v>
      </c>
      <c r="F804" s="550"/>
      <c r="G804" s="550">
        <v>3678.3088125000004</v>
      </c>
      <c r="H804" s="550">
        <v>14258.462400000002</v>
      </c>
      <c r="I804" s="550">
        <v>9731.0894210399983</v>
      </c>
      <c r="J804" s="550">
        <v>19392.71256</v>
      </c>
      <c r="K804" s="550">
        <v>1442639.7451135397</v>
      </c>
      <c r="L804" s="550">
        <v>216395.96176703097</v>
      </c>
      <c r="M804" s="550">
        <v>1659035.7068805706</v>
      </c>
      <c r="N804" s="551">
        <v>49387.270200000006</v>
      </c>
    </row>
    <row r="805" spans="1:14" ht="39.950000000000003" customHeight="1">
      <c r="A805" s="546" t="s">
        <v>306</v>
      </c>
      <c r="B805" s="559" t="s">
        <v>311</v>
      </c>
      <c r="C805" s="548" t="s">
        <v>53</v>
      </c>
      <c r="D805" s="548"/>
      <c r="E805" s="550">
        <v>1407806.2337</v>
      </c>
      <c r="F805" s="550"/>
      <c r="G805" s="550">
        <v>3678.3088125000004</v>
      </c>
      <c r="H805" s="550">
        <v>14258.462400000002</v>
      </c>
      <c r="I805" s="550">
        <v>9731.0894210399983</v>
      </c>
      <c r="J805" s="550">
        <v>19392.71256</v>
      </c>
      <c r="K805" s="550">
        <v>1454866.8068935398</v>
      </c>
      <c r="L805" s="550">
        <v>218230.02103403097</v>
      </c>
      <c r="M805" s="550">
        <v>1673096.8279275708</v>
      </c>
      <c r="N805" s="551">
        <v>49796.237625000002</v>
      </c>
    </row>
    <row r="806" spans="1:14" ht="39.950000000000003" customHeight="1">
      <c r="A806" s="546" t="s">
        <v>308</v>
      </c>
      <c r="B806" s="559" t="s">
        <v>313</v>
      </c>
      <c r="C806" s="548" t="s">
        <v>53</v>
      </c>
      <c r="D806" s="548"/>
      <c r="E806" s="550">
        <v>1349239.2386999999</v>
      </c>
      <c r="F806" s="550"/>
      <c r="G806" s="550">
        <v>3678.3088125000004</v>
      </c>
      <c r="H806" s="550">
        <v>14258.462400000002</v>
      </c>
      <c r="I806" s="550">
        <v>9731.0894210399983</v>
      </c>
      <c r="J806" s="550">
        <v>19392.71256</v>
      </c>
      <c r="K806" s="550">
        <v>1396299.8118935397</v>
      </c>
      <c r="L806" s="550">
        <v>209444.97178403096</v>
      </c>
      <c r="M806" s="550">
        <v>1605744.7836775708</v>
      </c>
      <c r="N806" s="551">
        <v>47656.006375000004</v>
      </c>
    </row>
    <row r="807" spans="1:14" ht="39.950000000000003" customHeight="1">
      <c r="A807" s="546" t="s">
        <v>310</v>
      </c>
      <c r="B807" s="559" t="s">
        <v>315</v>
      </c>
      <c r="C807" s="548" t="s">
        <v>53</v>
      </c>
      <c r="D807" s="548"/>
      <c r="E807" s="550">
        <v>1340572.5474</v>
      </c>
      <c r="F807" s="550"/>
      <c r="G807" s="550">
        <v>3678.3088125000004</v>
      </c>
      <c r="H807" s="550">
        <v>14258.462400000002</v>
      </c>
      <c r="I807" s="550">
        <v>9731.0894210399983</v>
      </c>
      <c r="J807" s="550">
        <v>19392.71256</v>
      </c>
      <c r="K807" s="550">
        <v>1387633.1205935399</v>
      </c>
      <c r="L807" s="550">
        <v>208144.96808903097</v>
      </c>
      <c r="M807" s="550">
        <v>1595778.088682571</v>
      </c>
      <c r="N807" s="551">
        <v>47366.125250000005</v>
      </c>
    </row>
    <row r="808" spans="1:14" ht="30" customHeight="1">
      <c r="A808" s="546" t="s">
        <v>312</v>
      </c>
      <c r="B808" s="559" t="s">
        <v>317</v>
      </c>
      <c r="C808" s="548" t="s">
        <v>53</v>
      </c>
      <c r="D808" s="548"/>
      <c r="E808" s="550">
        <v>267932.06043999997</v>
      </c>
      <c r="F808" s="550"/>
      <c r="G808" s="550">
        <v>3678.3088125000004</v>
      </c>
      <c r="H808" s="550">
        <v>14258.462400000002</v>
      </c>
      <c r="I808" s="550">
        <v>9731.0894210399983</v>
      </c>
      <c r="J808" s="550">
        <v>19392.71256</v>
      </c>
      <c r="K808" s="550">
        <v>314992.63363353995</v>
      </c>
      <c r="L808" s="550">
        <v>47248.895045030993</v>
      </c>
      <c r="M808" s="550">
        <v>362241.52867857093</v>
      </c>
      <c r="N808" s="551">
        <v>9675.755149999999</v>
      </c>
    </row>
    <row r="809" spans="1:14" s="534" customFormat="1" ht="35.1" customHeight="1">
      <c r="A809" s="535" t="str">
        <f>NCong!A528</f>
        <v>XI</v>
      </c>
      <c r="B809" s="588" t="str">
        <f>NCong!B528</f>
        <v>TRÍCH LỤC HỒ SƠ ĐỊA CHÍNH</v>
      </c>
      <c r="C809" s="585" t="s">
        <v>53</v>
      </c>
      <c r="D809" s="585">
        <v>1</v>
      </c>
      <c r="E809" s="537">
        <f>NCong!I528</f>
        <v>59354.100000000006</v>
      </c>
      <c r="F809" s="537"/>
      <c r="G809" s="537">
        <f>Dcu!J249</f>
        <v>976.95772709790219</v>
      </c>
      <c r="H809" s="537">
        <f>VLieu!H189</f>
        <v>15597</v>
      </c>
      <c r="I809" s="537">
        <f>Tbi!I163</f>
        <v>2433.2399999999998</v>
      </c>
      <c r="J809" s="537">
        <f>Tbi!I168+Dcu!J248</f>
        <v>4809.2709210000012</v>
      </c>
      <c r="K809" s="537">
        <f>SUM(E809:J809)</f>
        <v>83170.56864809792</v>
      </c>
      <c r="L809" s="537">
        <f>$L$4*K809</f>
        <v>12475.585297214688</v>
      </c>
      <c r="M809" s="537">
        <f>K809+L809</f>
        <v>95646.153945312602</v>
      </c>
      <c r="N809" s="538">
        <f>NCong!J528</f>
        <v>5112.9000000000005</v>
      </c>
    </row>
    <row r="810" spans="1:14" s="534" customFormat="1" ht="35.1" customHeight="1">
      <c r="A810" s="578"/>
      <c r="B810" s="579" t="str">
        <f>NCong!B536</f>
        <v>Ghi chú:</v>
      </c>
      <c r="C810" s="569"/>
      <c r="D810" s="569"/>
      <c r="E810" s="586"/>
      <c r="F810" s="586"/>
      <c r="G810" s="586"/>
      <c r="H810" s="586"/>
      <c r="I810" s="586"/>
      <c r="J810" s="586"/>
      <c r="K810" s="586"/>
      <c r="L810" s="586"/>
      <c r="M810" s="586"/>
      <c r="N810" s="591"/>
    </row>
    <row r="811" spans="1:14" ht="39.950000000000003" customHeight="1">
      <c r="A811" s="546">
        <f>NCong!A537</f>
        <v>1</v>
      </c>
      <c r="B811" s="573" t="str">
        <f>NCong!B537</f>
        <v>Trường hợp trích lục hồ sơ cho 01 khu đất (gồm nhiều thửa) mức áp dụng như sau:</v>
      </c>
      <c r="C811" s="548" t="s">
        <v>53</v>
      </c>
      <c r="D811" s="548"/>
      <c r="E811" s="547"/>
      <c r="F811" s="547"/>
      <c r="G811" s="547"/>
      <c r="H811" s="547"/>
      <c r="I811" s="547"/>
      <c r="J811" s="547"/>
      <c r="K811" s="547">
        <f>SUM(E811:J811)</f>
        <v>0</v>
      </c>
      <c r="L811" s="547">
        <f>$L$4*K811</f>
        <v>0</v>
      </c>
      <c r="M811" s="547">
        <f>K811+L811</f>
        <v>0</v>
      </c>
      <c r="N811" s="592"/>
    </row>
    <row r="812" spans="1:14" ht="39.950000000000003" customHeight="1">
      <c r="A812" s="546">
        <v>2</v>
      </c>
      <c r="B812" s="573" t="str">
        <f>NCong!B538</f>
        <v>- Dưới 05 thửa: Mức cho một thửa tính bằng 0,80 mức quy định tại Bảng 14;</v>
      </c>
      <c r="C812" s="548" t="s">
        <v>53</v>
      </c>
      <c r="D812" s="548"/>
      <c r="E812" s="547">
        <f t="shared" ref="E812:J812" si="96">E$809*0.8</f>
        <v>47483.280000000006</v>
      </c>
      <c r="F812" s="547">
        <f t="shared" si="96"/>
        <v>0</v>
      </c>
      <c r="G812" s="547">
        <f t="shared" si="96"/>
        <v>781.56618167832175</v>
      </c>
      <c r="H812" s="547">
        <f t="shared" si="96"/>
        <v>12477.6</v>
      </c>
      <c r="I812" s="547">
        <f t="shared" si="96"/>
        <v>1946.5919999999999</v>
      </c>
      <c r="J812" s="547">
        <f t="shared" si="96"/>
        <v>3847.4167368000012</v>
      </c>
      <c r="K812" s="547">
        <f>SUM(E812:J812)</f>
        <v>66536.454918478325</v>
      </c>
      <c r="L812" s="547">
        <f>$L$4*K812</f>
        <v>9980.468237771749</v>
      </c>
      <c r="M812" s="547">
        <f>K812+L812</f>
        <v>76516.923156250079</v>
      </c>
      <c r="N812" s="592">
        <f>N$809*0.8</f>
        <v>4090.3200000000006</v>
      </c>
    </row>
    <row r="813" spans="1:14" ht="39.950000000000003" customHeight="1">
      <c r="A813" s="546">
        <v>3</v>
      </c>
      <c r="B813" s="573" t="str">
        <f>NCong!B539</f>
        <v>- Từ 05 thửa đến 10 thửa: Mức cho một thửa tính bằng 0,65 mức quy định tại Bảng 14;</v>
      </c>
      <c r="C813" s="548" t="s">
        <v>53</v>
      </c>
      <c r="D813" s="548"/>
      <c r="E813" s="547">
        <f t="shared" ref="E813:J813" si="97">E$809*0.65</f>
        <v>38580.165000000008</v>
      </c>
      <c r="F813" s="547">
        <f t="shared" si="97"/>
        <v>0</v>
      </c>
      <c r="G813" s="547">
        <f t="shared" si="97"/>
        <v>635.0225226136364</v>
      </c>
      <c r="H813" s="547">
        <f t="shared" si="97"/>
        <v>10138.050000000001</v>
      </c>
      <c r="I813" s="547">
        <f t="shared" si="97"/>
        <v>1581.606</v>
      </c>
      <c r="J813" s="547">
        <f t="shared" si="97"/>
        <v>3126.0260986500007</v>
      </c>
      <c r="K813" s="547">
        <f>SUM(E813:J813)</f>
        <v>54060.86962126365</v>
      </c>
      <c r="L813" s="547">
        <f>$L$4*K813</f>
        <v>8109.1304431895469</v>
      </c>
      <c r="M813" s="547">
        <f>K813+L813</f>
        <v>62170.000064453197</v>
      </c>
      <c r="N813" s="592">
        <f>N$809*0.65</f>
        <v>3323.3850000000007</v>
      </c>
    </row>
    <row r="814" spans="1:14" ht="39.950000000000003" customHeight="1" thickBot="1">
      <c r="A814" s="593">
        <v>4</v>
      </c>
      <c r="B814" s="594" t="str">
        <f>NCong!B540</f>
        <v>- Trên 10 thửa: Mức cho một thửa tính bằng 0,50 mức quy định tại Bảng 14.</v>
      </c>
      <c r="C814" s="595" t="s">
        <v>53</v>
      </c>
      <c r="D814" s="595"/>
      <c r="E814" s="596">
        <f t="shared" ref="E814:J814" si="98">E$809*0.5</f>
        <v>29677.050000000003</v>
      </c>
      <c r="F814" s="596">
        <f t="shared" si="98"/>
        <v>0</v>
      </c>
      <c r="G814" s="596">
        <f t="shared" si="98"/>
        <v>488.4788635489511</v>
      </c>
      <c r="H814" s="596">
        <f t="shared" si="98"/>
        <v>7798.5</v>
      </c>
      <c r="I814" s="596">
        <f t="shared" si="98"/>
        <v>1216.6199999999999</v>
      </c>
      <c r="J814" s="596">
        <f t="shared" si="98"/>
        <v>2404.6354605000006</v>
      </c>
      <c r="K814" s="596">
        <f>SUM(E814:J814)</f>
        <v>41585.28432404896</v>
      </c>
      <c r="L814" s="596">
        <f>$L$4*K814</f>
        <v>6237.7926486073438</v>
      </c>
      <c r="M814" s="596">
        <f>K814+L814</f>
        <v>47823.076972656301</v>
      </c>
      <c r="N814" s="597">
        <f>N$809*0.5</f>
        <v>2556.4500000000003</v>
      </c>
    </row>
  </sheetData>
  <mergeCells count="257">
    <mergeCell ref="K2:K4"/>
    <mergeCell ref="M2:M4"/>
    <mergeCell ref="J2:J4"/>
    <mergeCell ref="A1:N1"/>
    <mergeCell ref="A2:A4"/>
    <mergeCell ref="B2:B4"/>
    <mergeCell ref="C2:C4"/>
    <mergeCell ref="D2:D4"/>
    <mergeCell ref="N2:N4"/>
    <mergeCell ref="H2:H4"/>
    <mergeCell ref="I2:I4"/>
    <mergeCell ref="E2:E4"/>
    <mergeCell ref="F2:F4"/>
    <mergeCell ref="L2:L3"/>
    <mergeCell ref="A5:A7"/>
    <mergeCell ref="B5:B7"/>
    <mergeCell ref="C5:C7"/>
    <mergeCell ref="G2:G4"/>
    <mergeCell ref="A8:A10"/>
    <mergeCell ref="B8:B10"/>
    <mergeCell ref="C8:C10"/>
    <mergeCell ref="A24:A26"/>
    <mergeCell ref="B24:B26"/>
    <mergeCell ref="C24:C26"/>
    <mergeCell ref="A27:A29"/>
    <mergeCell ref="B27:B29"/>
    <mergeCell ref="C27:C29"/>
    <mergeCell ref="A30:A32"/>
    <mergeCell ref="B30:B32"/>
    <mergeCell ref="C30:C32"/>
    <mergeCell ref="A33:A35"/>
    <mergeCell ref="B33:B35"/>
    <mergeCell ref="C33:C35"/>
    <mergeCell ref="A36:A38"/>
    <mergeCell ref="B36:B38"/>
    <mergeCell ref="C36:C38"/>
    <mergeCell ref="A39:A41"/>
    <mergeCell ref="B39:B41"/>
    <mergeCell ref="C39:C41"/>
    <mergeCell ref="B42:M42"/>
    <mergeCell ref="B43:M43"/>
    <mergeCell ref="A44:A47"/>
    <mergeCell ref="B44:B47"/>
    <mergeCell ref="C44:C47"/>
    <mergeCell ref="A48:A51"/>
    <mergeCell ref="B48:B51"/>
    <mergeCell ref="C48:C51"/>
    <mergeCell ref="B64:M64"/>
    <mergeCell ref="A65:A68"/>
    <mergeCell ref="B65:B68"/>
    <mergeCell ref="C65:C68"/>
    <mergeCell ref="A69:A72"/>
    <mergeCell ref="B69:B72"/>
    <mergeCell ref="C69:C72"/>
    <mergeCell ref="A73:A76"/>
    <mergeCell ref="B73:B76"/>
    <mergeCell ref="C73:C76"/>
    <mergeCell ref="A77:A80"/>
    <mergeCell ref="B77:B80"/>
    <mergeCell ref="C77:C80"/>
    <mergeCell ref="A81:A84"/>
    <mergeCell ref="B81:B84"/>
    <mergeCell ref="C81:C84"/>
    <mergeCell ref="A85:A88"/>
    <mergeCell ref="B85:B88"/>
    <mergeCell ref="C85:C88"/>
    <mergeCell ref="B89:M89"/>
    <mergeCell ref="B90:M90"/>
    <mergeCell ref="A93:A97"/>
    <mergeCell ref="B93:B97"/>
    <mergeCell ref="C93:C97"/>
    <mergeCell ref="A98:A102"/>
    <mergeCell ref="B98:B102"/>
    <mergeCell ref="C98:C102"/>
    <mergeCell ref="B92:N92"/>
    <mergeCell ref="B91:N91"/>
    <mergeCell ref="A203:A207"/>
    <mergeCell ref="A147:N147"/>
    <mergeCell ref="B181:D181"/>
    <mergeCell ref="B127:B131"/>
    <mergeCell ref="C127:C131"/>
    <mergeCell ref="B132:B136"/>
    <mergeCell ref="C132:C136"/>
    <mergeCell ref="B137:B141"/>
    <mergeCell ref="C137:C141"/>
    <mergeCell ref="B203:B207"/>
    <mergeCell ref="C203:C207"/>
    <mergeCell ref="B187:B191"/>
    <mergeCell ref="A182:A186"/>
    <mergeCell ref="A187:A191"/>
    <mergeCell ref="A192:A196"/>
    <mergeCell ref="A197:A201"/>
    <mergeCell ref="C197:C201"/>
    <mergeCell ref="A242:A246"/>
    <mergeCell ref="B242:B246"/>
    <mergeCell ref="C242:C246"/>
    <mergeCell ref="B224:B228"/>
    <mergeCell ref="C224:C228"/>
    <mergeCell ref="C187:C191"/>
    <mergeCell ref="B192:B196"/>
    <mergeCell ref="A247:A251"/>
    <mergeCell ref="B247:B251"/>
    <mergeCell ref="C247:C251"/>
    <mergeCell ref="C192:C196"/>
    <mergeCell ref="A219:A223"/>
    <mergeCell ref="B219:B223"/>
    <mergeCell ref="C219:C223"/>
    <mergeCell ref="A224:A228"/>
    <mergeCell ref="B236:D236"/>
    <mergeCell ref="A237:A241"/>
    <mergeCell ref="B237:B241"/>
    <mergeCell ref="C237:C241"/>
    <mergeCell ref="A208:A212"/>
    <mergeCell ref="B208:B212"/>
    <mergeCell ref="C208:C212"/>
    <mergeCell ref="A202:N202"/>
    <mergeCell ref="B197:B201"/>
    <mergeCell ref="B747:D747"/>
    <mergeCell ref="B748:D748"/>
    <mergeCell ref="C259:C263"/>
    <mergeCell ref="A264:A268"/>
    <mergeCell ref="B264:B268"/>
    <mergeCell ref="C264:C268"/>
    <mergeCell ref="A275:A279"/>
    <mergeCell ref="B275:B279"/>
    <mergeCell ref="C275:C279"/>
    <mergeCell ref="C354:C356"/>
    <mergeCell ref="C291:C295"/>
    <mergeCell ref="A296:A300"/>
    <mergeCell ref="B296:B300"/>
    <mergeCell ref="B741:N741"/>
    <mergeCell ref="C328:C332"/>
    <mergeCell ref="A382:A384"/>
    <mergeCell ref="B382:B384"/>
    <mergeCell ref="C382:C384"/>
    <mergeCell ref="A357:A359"/>
    <mergeCell ref="B357:B359"/>
    <mergeCell ref="C357:C359"/>
    <mergeCell ref="B491:D491"/>
    <mergeCell ref="B468:N468"/>
    <mergeCell ref="B433:N433"/>
    <mergeCell ref="B482:D482"/>
    <mergeCell ref="B434:N434"/>
    <mergeCell ref="B445:N445"/>
    <mergeCell ref="B474:D474"/>
    <mergeCell ref="A252:A256"/>
    <mergeCell ref="B252:B256"/>
    <mergeCell ref="C252:C256"/>
    <mergeCell ref="B257:N257"/>
    <mergeCell ref="B258:N258"/>
    <mergeCell ref="A317:A321"/>
    <mergeCell ref="B317:B321"/>
    <mergeCell ref="C317:C321"/>
    <mergeCell ref="A280:A284"/>
    <mergeCell ref="B280:B284"/>
    <mergeCell ref="C280:C284"/>
    <mergeCell ref="B290:N290"/>
    <mergeCell ref="A285:A289"/>
    <mergeCell ref="B285:B289"/>
    <mergeCell ref="C285:C289"/>
    <mergeCell ref="A312:A316"/>
    <mergeCell ref="B312:B316"/>
    <mergeCell ref="C312:C316"/>
    <mergeCell ref="C296:C300"/>
    <mergeCell ref="A307:A311"/>
    <mergeCell ref="B307:B311"/>
    <mergeCell ref="C307:C311"/>
    <mergeCell ref="A339:A343"/>
    <mergeCell ref="B339:B343"/>
    <mergeCell ref="C339:C343"/>
    <mergeCell ref="C323:C327"/>
    <mergeCell ref="B322:N322"/>
    <mergeCell ref="A344:A348"/>
    <mergeCell ref="B344:B348"/>
    <mergeCell ref="C344:C348"/>
    <mergeCell ref="A328:A332"/>
    <mergeCell ref="B328:B332"/>
    <mergeCell ref="A349:A353"/>
    <mergeCell ref="B349:B353"/>
    <mergeCell ref="C349:C353"/>
    <mergeCell ref="A390:A393"/>
    <mergeCell ref="A423:A426"/>
    <mergeCell ref="B423:B426"/>
    <mergeCell ref="A385:A387"/>
    <mergeCell ref="B385:B387"/>
    <mergeCell ref="C385:C387"/>
    <mergeCell ref="A419:A422"/>
    <mergeCell ref="A373:A375"/>
    <mergeCell ref="A354:A356"/>
    <mergeCell ref="B354:B356"/>
    <mergeCell ref="B373:B375"/>
    <mergeCell ref="C373:C375"/>
    <mergeCell ref="A376:A378"/>
    <mergeCell ref="B376:B378"/>
    <mergeCell ref="C376:C378"/>
    <mergeCell ref="A379:A381"/>
    <mergeCell ref="B379:B381"/>
    <mergeCell ref="C379:C381"/>
    <mergeCell ref="B390:B393"/>
    <mergeCell ref="C390:C393"/>
    <mergeCell ref="C394:C397"/>
    <mergeCell ref="A427:A430"/>
    <mergeCell ref="A411:A414"/>
    <mergeCell ref="B411:B414"/>
    <mergeCell ref="A415:A418"/>
    <mergeCell ref="B415:B418"/>
    <mergeCell ref="A394:A397"/>
    <mergeCell ref="B394:B397"/>
    <mergeCell ref="B427:B430"/>
    <mergeCell ref="B419:B422"/>
    <mergeCell ref="B775:N775"/>
    <mergeCell ref="B781:D781"/>
    <mergeCell ref="B782:D782"/>
    <mergeCell ref="B456:N456"/>
    <mergeCell ref="B492:N492"/>
    <mergeCell ref="B493:N493"/>
    <mergeCell ref="B564:N564"/>
    <mergeCell ref="B570:D570"/>
    <mergeCell ref="B605:D605"/>
    <mergeCell ref="B467:N467"/>
    <mergeCell ref="B707:N707"/>
    <mergeCell ref="B706:N706"/>
    <mergeCell ref="B714:D714"/>
    <mergeCell ref="B641:D641"/>
    <mergeCell ref="B713:D713"/>
    <mergeCell ref="B676:D676"/>
    <mergeCell ref="B635:N635"/>
    <mergeCell ref="B499:D499"/>
    <mergeCell ref="B534:D534"/>
    <mergeCell ref="B484:N484"/>
    <mergeCell ref="B475:D475"/>
    <mergeCell ref="B476:N476"/>
    <mergeCell ref="B490:D490"/>
    <mergeCell ref="B483:D483"/>
    <mergeCell ref="A109:A113"/>
    <mergeCell ref="B109:B113"/>
    <mergeCell ref="C109:C113"/>
    <mergeCell ref="A114:A118"/>
    <mergeCell ref="B114:B118"/>
    <mergeCell ref="C114:C118"/>
    <mergeCell ref="B126:J126"/>
    <mergeCell ref="B182:B186"/>
    <mergeCell ref="C182:C186"/>
    <mergeCell ref="B142:B146"/>
    <mergeCell ref="C142:C146"/>
    <mergeCell ref="A148:A152"/>
    <mergeCell ref="B148:B152"/>
    <mergeCell ref="C148:C152"/>
    <mergeCell ref="A153:A157"/>
    <mergeCell ref="B153:B157"/>
    <mergeCell ref="C164:C168"/>
    <mergeCell ref="A169:A173"/>
    <mergeCell ref="C153:C157"/>
    <mergeCell ref="A164:A168"/>
    <mergeCell ref="B164:B168"/>
    <mergeCell ref="B169:B173"/>
    <mergeCell ref="C169:C173"/>
  </mergeCells>
  <printOptions horizontalCentered="1" verticalCentered="1"/>
  <pageMargins left="0.23622047244094491" right="3.937007874015748E-2" top="0.11811023622047245" bottom="0.31496062992125984" header="0.19685039370078741" footer="0.19685039370078741"/>
  <pageSetup paperSize="9" scale="73" firstPageNumber="4" pageOrder="overThenDown" orientation="landscape" useFirstPageNumber="1" r:id="rId1"/>
  <headerFooter alignWithMargins="0">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rgb="FFFFFF00"/>
  </sheetPr>
  <dimension ref="A1:U102"/>
  <sheetViews>
    <sheetView showZeros="0" topLeftCell="B64" zoomScaleNormal="100" workbookViewId="0">
      <selection activeCell="R6" sqref="R6"/>
    </sheetView>
  </sheetViews>
  <sheetFormatPr defaultColWidth="9" defaultRowHeight="12.75"/>
  <cols>
    <col min="1" max="1" width="7" style="84" customWidth="1"/>
    <col min="2" max="2" width="30.44140625" style="85" customWidth="1"/>
    <col min="3" max="4" width="7.21875" style="84" customWidth="1"/>
    <col min="5" max="5" width="8" style="85" hidden="1" customWidth="1"/>
    <col min="6" max="6" width="6.77734375" style="85" hidden="1" customWidth="1"/>
    <col min="7" max="7" width="6.6640625" style="85" hidden="1" customWidth="1"/>
    <col min="8" max="8" width="8" style="85" hidden="1" customWidth="1"/>
    <col min="9" max="9" width="6.44140625" style="85" hidden="1" customWidth="1"/>
    <col min="10" max="10" width="6.33203125" style="85" hidden="1" customWidth="1"/>
    <col min="11" max="11" width="9.44140625" style="85" customWidth="1"/>
    <col min="12" max="12" width="8" style="85" customWidth="1"/>
    <col min="13" max="13" width="9.109375" style="85" customWidth="1"/>
    <col min="14" max="14" width="6.77734375" style="85" hidden="1" customWidth="1"/>
    <col min="15" max="15" width="7.21875" style="85" hidden="1" customWidth="1"/>
    <col min="16" max="16" width="9.44140625" style="85" customWidth="1"/>
    <col min="17" max="17" width="8.44140625" style="85" customWidth="1"/>
    <col min="18" max="18" width="8.109375" style="85" customWidth="1"/>
    <col min="19" max="19" width="8" style="85" customWidth="1"/>
    <col min="20" max="20" width="8.77734375" style="85" customWidth="1"/>
    <col min="21" max="16384" width="9" style="85"/>
  </cols>
  <sheetData>
    <row r="1" spans="1:21" ht="25.5" customHeight="1">
      <c r="A1" s="1544" t="s">
        <v>572</v>
      </c>
      <c r="B1" s="1544"/>
      <c r="C1" s="1544"/>
      <c r="D1" s="1544"/>
      <c r="E1" s="1544"/>
      <c r="F1" s="1544"/>
      <c r="G1" s="1544"/>
      <c r="H1" s="1544"/>
      <c r="I1" s="1544"/>
      <c r="J1" s="1544"/>
      <c r="K1" s="1544"/>
      <c r="L1" s="1544"/>
      <c r="M1" s="1544"/>
      <c r="N1" s="1544"/>
      <c r="O1" s="1544"/>
      <c r="P1" s="1544"/>
      <c r="Q1" s="1544"/>
      <c r="R1" s="1544"/>
      <c r="S1" s="1544"/>
      <c r="T1" s="1544"/>
    </row>
    <row r="2" spans="1:21" s="86" customFormat="1">
      <c r="A2" s="1617"/>
      <c r="B2" s="1617"/>
      <c r="C2" s="1617"/>
      <c r="D2" s="1617"/>
      <c r="E2" s="1617"/>
      <c r="F2" s="1617"/>
      <c r="G2" s="1617"/>
      <c r="H2" s="1617"/>
      <c r="I2" s="1617"/>
      <c r="J2" s="1617"/>
      <c r="K2" s="1617"/>
      <c r="L2" s="1617"/>
      <c r="M2" s="1617"/>
      <c r="N2" s="1617"/>
    </row>
    <row r="3" spans="1:21" ht="13.5">
      <c r="A3" s="87">
        <f>DGSP_ChiTiet!B3</f>
        <v>0</v>
      </c>
      <c r="B3" s="88">
        <f>DGSP_ChiTiet!C3</f>
        <v>0</v>
      </c>
      <c r="C3" s="84">
        <f>DGSP_ChiTiet!D3</f>
        <v>0</v>
      </c>
      <c r="D3" s="84">
        <f>DGSP_ChiTiet!E3</f>
        <v>0</v>
      </c>
      <c r="E3" s="85">
        <f>DGSP_ChiTiet!F3</f>
        <v>0</v>
      </c>
      <c r="F3" s="85">
        <f>DGSP_ChiTiet!G3</f>
        <v>0</v>
      </c>
      <c r="G3" s="85">
        <f>DGSP_ChiTiet!H3</f>
        <v>0</v>
      </c>
      <c r="H3" s="85">
        <f>DGSP_ChiTiet!I3</f>
        <v>0</v>
      </c>
      <c r="I3" s="85">
        <f>DGSP_ChiTiet!J3</f>
        <v>0</v>
      </c>
      <c r="J3" s="1618">
        <f>DGSP_ChiTiet!K3</f>
        <v>0</v>
      </c>
      <c r="K3" s="1618">
        <f>DGSP_ChiTiet!L3</f>
        <v>0</v>
      </c>
      <c r="L3" s="1618">
        <f>DGSP_ChiTiet!M3</f>
        <v>0</v>
      </c>
      <c r="M3" s="89">
        <f>DGSP_ChiTiet!N3</f>
        <v>0</v>
      </c>
      <c r="N3" s="85">
        <f>DGSP_ChiTiet!O3</f>
        <v>0</v>
      </c>
      <c r="O3" s="85">
        <f>DGSP_ChiTiet!P3</f>
        <v>0</v>
      </c>
    </row>
    <row r="4" spans="1:21" s="83" customFormat="1">
      <c r="A4" s="1619" t="str">
        <f>DGSP_ChiTiet!B4</f>
        <v>Số
TT</v>
      </c>
      <c r="B4" s="1431" t="str">
        <f>DGSP_ChiTiet!C4</f>
        <v>Danh mục sản phẩm</v>
      </c>
      <c r="C4" s="1431" t="str">
        <f>DGSP_ChiTiet!D4</f>
        <v>ĐVT</v>
      </c>
      <c r="D4" s="1431" t="str">
        <f>DGSP_ChiTiet!E4</f>
        <v>Loại
KK</v>
      </c>
      <c r="E4" s="1431" t="str">
        <f>DGSP_ChiTiet!F4</f>
        <v>Chi phí
LĐKT</v>
      </c>
      <c r="F4" s="1431" t="str">
        <f>DGSP_ChiTiet!G4</f>
        <v>Chi phí
LĐPT</v>
      </c>
      <c r="G4" s="1431" t="str">
        <f>DGSP_ChiTiet!H4</f>
        <v>Chi phí
dụng cụ</v>
      </c>
      <c r="H4" s="1431" t="str">
        <f>DGSP_ChiTiet!I4</f>
        <v>Chi phí
vật liệu</v>
      </c>
      <c r="I4" s="1431" t="str">
        <f>DGSP_ChiTiet!J4</f>
        <v>Chi phí
khấu
hao</v>
      </c>
      <c r="J4" s="1431" t="str">
        <f>DGSP_ChiTiet!K4</f>
        <v>Chi phí
năng
lượng</v>
      </c>
      <c r="K4" s="1431" t="str">
        <f>DGSP_ChiTiet!L4</f>
        <v>Chi phí
trực tiếp (A1)</v>
      </c>
      <c r="L4" s="1431" t="str">
        <f>DGSP_ChiTiet!M4</f>
        <v>Chi phí
chung</v>
      </c>
      <c r="M4" s="1431" t="str">
        <f>DGSP_ChiTiet!N4</f>
        <v>Đơn giá
sản phẩm</v>
      </c>
      <c r="N4" s="1619" t="str">
        <f>DGSP_ChiTiet!O4</f>
        <v>PCKV</v>
      </c>
      <c r="O4" s="1653" t="str">
        <f>DGSP_ChiTiet!P4</f>
        <v>Ăn ca</v>
      </c>
      <c r="P4" s="1431" t="s">
        <v>568</v>
      </c>
      <c r="Q4" s="1431" t="s">
        <v>569</v>
      </c>
      <c r="R4" s="1431"/>
      <c r="S4" s="1431" t="s">
        <v>571</v>
      </c>
      <c r="T4" s="520" t="s">
        <v>569</v>
      </c>
      <c r="U4" s="86"/>
    </row>
    <row r="5" spans="1:21" s="83" customFormat="1">
      <c r="A5" s="1619">
        <f>DGSP_ChiTiet!B5</f>
        <v>0</v>
      </c>
      <c r="B5" s="1431">
        <f>DGSP_ChiTiet!C5</f>
        <v>0</v>
      </c>
      <c r="C5" s="1431">
        <f>DGSP_ChiTiet!D5</f>
        <v>0</v>
      </c>
      <c r="D5" s="1431">
        <f>DGSP_ChiTiet!E5</f>
        <v>0</v>
      </c>
      <c r="E5" s="1431">
        <f>DGSP_ChiTiet!F5</f>
        <v>0</v>
      </c>
      <c r="F5" s="1431">
        <f>DGSP_ChiTiet!G5</f>
        <v>0</v>
      </c>
      <c r="G5" s="1431" t="str">
        <f>DGSP_ChiTiet!H5</f>
        <v>dụng cụ</v>
      </c>
      <c r="H5" s="1431">
        <f>DGSP_ChiTiet!I5</f>
        <v>0</v>
      </c>
      <c r="I5" s="1431">
        <f>DGSP_ChiTiet!J5</f>
        <v>0</v>
      </c>
      <c r="J5" s="1431">
        <f>DGSP_ChiTiet!K5</f>
        <v>0</v>
      </c>
      <c r="K5" s="1431">
        <f>DGSP_ChiTiet!L5</f>
        <v>0</v>
      </c>
      <c r="L5" s="1431" t="str">
        <f>DGSP_ChiTiet!M5</f>
        <v>chung</v>
      </c>
      <c r="M5" s="1431">
        <f>DGSP_ChiTiet!N5</f>
        <v>0</v>
      </c>
      <c r="N5" s="1619">
        <f>DGSP_ChiTiet!O5</f>
        <v>0</v>
      </c>
      <c r="O5" s="1653">
        <f>DGSP_ChiTiet!P5</f>
        <v>0</v>
      </c>
      <c r="P5" s="1431"/>
      <c r="Q5" s="520" t="s">
        <v>570</v>
      </c>
      <c r="R5" s="520" t="s">
        <v>579</v>
      </c>
      <c r="S5" s="1431"/>
      <c r="T5" s="520" t="s">
        <v>570</v>
      </c>
    </row>
    <row r="6" spans="1:21" s="83" customFormat="1">
      <c r="A6" s="1619">
        <f>DGSP_ChiTiet!B6</f>
        <v>0</v>
      </c>
      <c r="B6" s="1431">
        <f>DGSP_ChiTiet!C6</f>
        <v>0</v>
      </c>
      <c r="C6" s="1431">
        <f>DGSP_ChiTiet!D6</f>
        <v>0</v>
      </c>
      <c r="D6" s="1431">
        <f>DGSP_ChiTiet!E6</f>
        <v>0</v>
      </c>
      <c r="E6" s="1431">
        <f>DGSP_ChiTiet!F6</f>
        <v>0</v>
      </c>
      <c r="F6" s="1431">
        <f>DGSP_ChiTiet!G6</f>
        <v>0</v>
      </c>
      <c r="G6" s="1431">
        <f>DGSP_ChiTiet!H6</f>
        <v>0</v>
      </c>
      <c r="H6" s="1431">
        <f>DGSP_ChiTiet!I6</f>
        <v>0</v>
      </c>
      <c r="I6" s="1431">
        <f>DGSP_ChiTiet!J6</f>
        <v>0</v>
      </c>
      <c r="J6" s="1431">
        <f>DGSP_ChiTiet!K6</f>
        <v>0</v>
      </c>
      <c r="K6" s="1431">
        <f>DGSP_ChiTiet!L6</f>
        <v>0</v>
      </c>
      <c r="L6" s="529">
        <f>DGSP_ChiTiet!M6</f>
        <v>0.15</v>
      </c>
      <c r="M6" s="1431">
        <f>DGSP_ChiTiet!N6</f>
        <v>0</v>
      </c>
      <c r="N6" s="519">
        <f>DGSP_ChiTiet!O6</f>
        <v>0.2</v>
      </c>
      <c r="O6" s="1653">
        <f>DGSP_ChiTiet!P6</f>
        <v>0</v>
      </c>
      <c r="P6" s="1431"/>
      <c r="Q6" s="520"/>
      <c r="R6" s="520"/>
      <c r="S6" s="1431"/>
      <c r="T6" s="520"/>
    </row>
    <row r="7" spans="1:21" s="86" customFormat="1" ht="18" customHeight="1">
      <c r="A7" s="1872" t="str">
        <f>DGSP_ChiTiet!B7</f>
        <v>I</v>
      </c>
      <c r="B7" s="1873" t="str">
        <f>DGSP_ChiTiet!C7</f>
        <v>ĐĂNG KÝ, CẤP GIẤY CHỨNG NHẬN LẦN ĐẦU ĐỒNG LOẠT ĐỐI VỚI HỘ GIA ĐÌNH, CÁ NHÂN Ở XÃ (CHƯA BAO GỒM QUÉT HỒ SƠ)</v>
      </c>
      <c r="C7" s="1632" t="str">
        <f>DGSP_ChiTiet!D7</f>
        <v>Hồ sơ</v>
      </c>
      <c r="D7" s="521">
        <f>DGSP_ChiTiet!E7</f>
        <v>1</v>
      </c>
      <c r="E7" s="294">
        <f>DGSP_ChiTiet!F7</f>
        <v>719969.23439999996</v>
      </c>
      <c r="F7" s="294">
        <f>DGSP_ChiTiet!G7</f>
        <v>45890.096153846156</v>
      </c>
      <c r="G7" s="294">
        <f>DGSP_ChiTiet!H7</f>
        <v>9620.4272033628222</v>
      </c>
      <c r="H7" s="294">
        <f>DGSP_ChiTiet!I7</f>
        <v>43821.94</v>
      </c>
      <c r="I7" s="294">
        <f>DGSP_ChiTiet!J7</f>
        <v>9066.1517999999996</v>
      </c>
      <c r="J7" s="294">
        <f>DGSP_ChiTiet!K7</f>
        <v>10350.291588</v>
      </c>
      <c r="K7" s="294">
        <f>DGSP_ChiTiet!L7</f>
        <v>838718.14114520897</v>
      </c>
      <c r="L7" s="294">
        <f>DGSP_ChiTiet!M7</f>
        <v>125807.72117178133</v>
      </c>
      <c r="M7" s="294">
        <f>DGSP_ChiTiet!N7</f>
        <v>964525.86231699027</v>
      </c>
      <c r="N7" s="294">
        <f>DGSP_ChiTiet!O7</f>
        <v>860162.34037499991</v>
      </c>
      <c r="O7" s="294">
        <f>DGSP_ChiTiet!P7</f>
        <v>180645.16826923078</v>
      </c>
      <c r="P7" s="294">
        <v>158838</v>
      </c>
      <c r="Q7" s="294">
        <f>M7-P7</f>
        <v>805687.86231699027</v>
      </c>
      <c r="R7" s="528">
        <f t="shared" ref="R7:R13" si="0">Q7/P7*100</f>
        <v>507.23873526296626</v>
      </c>
      <c r="S7" s="294">
        <f>224749+163803</f>
        <v>388552</v>
      </c>
      <c r="T7" s="294">
        <f>M7-S7</f>
        <v>575973.86231699027</v>
      </c>
    </row>
    <row r="8" spans="1:21" s="86" customFormat="1" ht="18" customHeight="1">
      <c r="A8" s="1632">
        <f>DGSP_ChiTiet!B8</f>
        <v>0</v>
      </c>
      <c r="B8" s="1873">
        <f>DGSP_ChiTiet!C8</f>
        <v>0</v>
      </c>
      <c r="C8" s="1632">
        <f>DGSP_ChiTiet!D8</f>
        <v>0</v>
      </c>
      <c r="D8" s="521">
        <f>DGSP_ChiTiet!E8</f>
        <v>2</v>
      </c>
      <c r="E8" s="294">
        <f>DGSP_ChiTiet!F8</f>
        <v>771287.18939999992</v>
      </c>
      <c r="F8" s="294">
        <f>DGSP_ChiTiet!G8</f>
        <v>54986.25</v>
      </c>
      <c r="G8" s="294">
        <f>DGSP_ChiTiet!H8</f>
        <v>10599.706408025642</v>
      </c>
      <c r="H8" s="294">
        <f>DGSP_ChiTiet!I8</f>
        <v>43821.94</v>
      </c>
      <c r="I8" s="294">
        <f>DGSP_ChiTiet!J8</f>
        <v>9066.1517999999996</v>
      </c>
      <c r="J8" s="294">
        <f>DGSP_ChiTiet!K8</f>
        <v>10350.291588</v>
      </c>
      <c r="K8" s="294">
        <f>DGSP_ChiTiet!L8</f>
        <v>900111.52919602569</v>
      </c>
      <c r="L8" s="294">
        <f>DGSP_ChiTiet!M8</f>
        <v>135016.72937940384</v>
      </c>
      <c r="M8" s="294">
        <f>DGSP_ChiTiet!N8</f>
        <v>1035128.2585754296</v>
      </c>
      <c r="N8" s="294">
        <f>DGSP_ChiTiet!O8</f>
        <v>860162.34037499991</v>
      </c>
      <c r="O8" s="294">
        <f>DGSP_ChiTiet!P8</f>
        <v>242189.78365384616</v>
      </c>
      <c r="P8" s="294">
        <v>173930</v>
      </c>
      <c r="Q8" s="294">
        <f t="shared" ref="Q8:Q13" si="1">M8-P8</f>
        <v>861198.25857542956</v>
      </c>
      <c r="R8" s="528">
        <f t="shared" si="0"/>
        <v>495.14072246043213</v>
      </c>
      <c r="S8" s="294">
        <f>240493+163803</f>
        <v>404296</v>
      </c>
      <c r="T8" s="294">
        <f t="shared" ref="T8:T13" si="2">M8-S8</f>
        <v>630832.25857542956</v>
      </c>
    </row>
    <row r="9" spans="1:21" s="86" customFormat="1" ht="18" customHeight="1">
      <c r="A9" s="1632">
        <f>DGSP_ChiTiet!B9</f>
        <v>0</v>
      </c>
      <c r="B9" s="1873">
        <f>DGSP_ChiTiet!C9</f>
        <v>0</v>
      </c>
      <c r="C9" s="1632">
        <f>DGSP_ChiTiet!D9</f>
        <v>0</v>
      </c>
      <c r="D9" s="521">
        <f>DGSP_ChiTiet!E9</f>
        <v>3</v>
      </c>
      <c r="E9" s="294">
        <f>DGSP_ChiTiet!F9</f>
        <v>832868.73540000001</v>
      </c>
      <c r="F9" s="294">
        <f>DGSP_ChiTiet!G9</f>
        <v>65901.634615384624</v>
      </c>
      <c r="G9" s="294">
        <f>DGSP_ChiTiet!H9</f>
        <v>11578.985612688464</v>
      </c>
      <c r="H9" s="294">
        <f>DGSP_ChiTiet!I9</f>
        <v>43821.94</v>
      </c>
      <c r="I9" s="294">
        <f>DGSP_ChiTiet!J9</f>
        <v>9066.1517999999996</v>
      </c>
      <c r="J9" s="294">
        <f>DGSP_ChiTiet!K9</f>
        <v>10350.291588</v>
      </c>
      <c r="K9" s="294">
        <f>DGSP_ChiTiet!L9</f>
        <v>973587.73901607317</v>
      </c>
      <c r="L9" s="294">
        <f>DGSP_ChiTiet!M9</f>
        <v>146038.16085241098</v>
      </c>
      <c r="M9" s="294">
        <f>DGSP_ChiTiet!N9</f>
        <v>1119625.8998684841</v>
      </c>
      <c r="N9" s="294">
        <f>DGSP_ChiTiet!O9</f>
        <v>893293.93237499997</v>
      </c>
      <c r="O9" s="294">
        <f>DGSP_ChiTiet!P9</f>
        <v>244435.93750000003</v>
      </c>
      <c r="P9" s="294">
        <v>185301</v>
      </c>
      <c r="Q9" s="294">
        <f t="shared" si="1"/>
        <v>934324.89986848412</v>
      </c>
      <c r="R9" s="528">
        <f t="shared" si="0"/>
        <v>504.2201066742673</v>
      </c>
      <c r="S9" s="294">
        <f>258878+163803</f>
        <v>422681</v>
      </c>
      <c r="T9" s="294">
        <f t="shared" si="2"/>
        <v>696944.89986848412</v>
      </c>
    </row>
    <row r="10" spans="1:21" s="86" customFormat="1" ht="18" customHeight="1">
      <c r="A10" s="1872" t="e">
        <f>DGSP_ChiTiet!#REF!</f>
        <v>#REF!</v>
      </c>
      <c r="B10" s="1873" t="e">
        <f>DGSP_ChiTiet!#REF!</f>
        <v>#REF!</v>
      </c>
      <c r="C10" s="1632" t="e">
        <f>DGSP_ChiTiet!#REF!</f>
        <v>#REF!</v>
      </c>
      <c r="D10" s="521" t="e">
        <f>DGSP_ChiTiet!#REF!</f>
        <v>#REF!</v>
      </c>
      <c r="E10" s="294" t="e">
        <f>DGSP_ChiTiet!#REF!</f>
        <v>#REF!</v>
      </c>
      <c r="F10" s="294" t="e">
        <f>DGSP_ChiTiet!#REF!</f>
        <v>#REF!</v>
      </c>
      <c r="G10" s="294" t="e">
        <f>DGSP_ChiTiet!#REF!</f>
        <v>#REF!</v>
      </c>
      <c r="H10" s="294" t="e">
        <f>DGSP_ChiTiet!#REF!</f>
        <v>#REF!</v>
      </c>
      <c r="I10" s="294" t="e">
        <f>DGSP_ChiTiet!#REF!</f>
        <v>#REF!</v>
      </c>
      <c r="J10" s="294" t="e">
        <f>DGSP_ChiTiet!#REF!</f>
        <v>#REF!</v>
      </c>
      <c r="K10" s="294" t="e">
        <f>DGSP_ChiTiet!#REF!</f>
        <v>#REF!</v>
      </c>
      <c r="L10" s="294" t="e">
        <f>DGSP_ChiTiet!#REF!</f>
        <v>#REF!</v>
      </c>
      <c r="M10" s="294" t="e">
        <f>DGSP_ChiTiet!#REF!</f>
        <v>#REF!</v>
      </c>
      <c r="N10" s="294" t="e">
        <f>DGSP_ChiTiet!#REF!</f>
        <v>#REF!</v>
      </c>
      <c r="O10" s="294" t="e">
        <f>DGSP_ChiTiet!#REF!</f>
        <v>#REF!</v>
      </c>
      <c r="P10" s="294">
        <v>225364</v>
      </c>
      <c r="Q10" s="294" t="e">
        <f t="shared" si="1"/>
        <v>#REF!</v>
      </c>
      <c r="R10" s="528" t="e">
        <f t="shared" si="0"/>
        <v>#REF!</v>
      </c>
      <c r="S10" s="294">
        <f>415960+186648</f>
        <v>602608</v>
      </c>
      <c r="T10" s="294" t="e">
        <f t="shared" si="2"/>
        <v>#REF!</v>
      </c>
    </row>
    <row r="11" spans="1:21" s="86" customFormat="1" ht="18" customHeight="1">
      <c r="A11" s="1632" t="e">
        <f>DGSP_ChiTiet!#REF!</f>
        <v>#REF!</v>
      </c>
      <c r="B11" s="1873" t="e">
        <f>DGSP_ChiTiet!#REF!</f>
        <v>#REF!</v>
      </c>
      <c r="C11" s="1632" t="e">
        <f>DGSP_ChiTiet!#REF!</f>
        <v>#REF!</v>
      </c>
      <c r="D11" s="521" t="e">
        <f>DGSP_ChiTiet!#REF!</f>
        <v>#REF!</v>
      </c>
      <c r="E11" s="294" t="e">
        <f>DGSP_ChiTiet!#REF!</f>
        <v>#REF!</v>
      </c>
      <c r="F11" s="294" t="e">
        <f>DGSP_ChiTiet!#REF!</f>
        <v>#REF!</v>
      </c>
      <c r="G11" s="294" t="e">
        <f>DGSP_ChiTiet!#REF!</f>
        <v>#REF!</v>
      </c>
      <c r="H11" s="294" t="e">
        <f>DGSP_ChiTiet!#REF!</f>
        <v>#REF!</v>
      </c>
      <c r="I11" s="294" t="e">
        <f>DGSP_ChiTiet!#REF!</f>
        <v>#REF!</v>
      </c>
      <c r="J11" s="294" t="e">
        <f>DGSP_ChiTiet!#REF!</f>
        <v>#REF!</v>
      </c>
      <c r="K11" s="294" t="e">
        <f>DGSP_ChiTiet!#REF!</f>
        <v>#REF!</v>
      </c>
      <c r="L11" s="294" t="e">
        <f>DGSP_ChiTiet!#REF!</f>
        <v>#REF!</v>
      </c>
      <c r="M11" s="294" t="e">
        <f>DGSP_ChiTiet!#REF!</f>
        <v>#REF!</v>
      </c>
      <c r="N11" s="294" t="e">
        <f>DGSP_ChiTiet!#REF!</f>
        <v>#REF!</v>
      </c>
      <c r="O11" s="294" t="e">
        <f>DGSP_ChiTiet!#REF!</f>
        <v>#REF!</v>
      </c>
      <c r="P11" s="294">
        <v>237110</v>
      </c>
      <c r="Q11" s="294" t="e">
        <f t="shared" si="1"/>
        <v>#REF!</v>
      </c>
      <c r="R11" s="528" t="e">
        <f t="shared" si="0"/>
        <v>#REF!</v>
      </c>
      <c r="S11" s="294">
        <f>461206+186648</f>
        <v>647854</v>
      </c>
      <c r="T11" s="294" t="e">
        <f t="shared" si="2"/>
        <v>#REF!</v>
      </c>
    </row>
    <row r="12" spans="1:21" s="86" customFormat="1" ht="18" customHeight="1">
      <c r="A12" s="1632" t="e">
        <f>DGSP_ChiTiet!#REF!</f>
        <v>#REF!</v>
      </c>
      <c r="B12" s="1873" t="e">
        <f>DGSP_ChiTiet!#REF!</f>
        <v>#REF!</v>
      </c>
      <c r="C12" s="1632" t="e">
        <f>DGSP_ChiTiet!#REF!</f>
        <v>#REF!</v>
      </c>
      <c r="D12" s="521" t="e">
        <f>DGSP_ChiTiet!#REF!</f>
        <v>#REF!</v>
      </c>
      <c r="E12" s="294" t="e">
        <f>DGSP_ChiTiet!#REF!</f>
        <v>#REF!</v>
      </c>
      <c r="F12" s="294" t="e">
        <f>DGSP_ChiTiet!#REF!</f>
        <v>#REF!</v>
      </c>
      <c r="G12" s="294" t="e">
        <f>DGSP_ChiTiet!#REF!</f>
        <v>#REF!</v>
      </c>
      <c r="H12" s="294" t="e">
        <f>DGSP_ChiTiet!#REF!</f>
        <v>#REF!</v>
      </c>
      <c r="I12" s="294" t="e">
        <f>DGSP_ChiTiet!#REF!</f>
        <v>#REF!</v>
      </c>
      <c r="J12" s="294" t="e">
        <f>DGSP_ChiTiet!#REF!</f>
        <v>#REF!</v>
      </c>
      <c r="K12" s="294" t="e">
        <f>DGSP_ChiTiet!#REF!</f>
        <v>#REF!</v>
      </c>
      <c r="L12" s="294" t="e">
        <f>DGSP_ChiTiet!#REF!</f>
        <v>#REF!</v>
      </c>
      <c r="M12" s="294" t="e">
        <f>DGSP_ChiTiet!#REF!</f>
        <v>#REF!</v>
      </c>
      <c r="N12" s="294" t="e">
        <f>DGSP_ChiTiet!#REF!</f>
        <v>#REF!</v>
      </c>
      <c r="O12" s="294" t="e">
        <f>DGSP_ChiTiet!#REF!</f>
        <v>#REF!</v>
      </c>
      <c r="P12" s="294">
        <v>249956</v>
      </c>
      <c r="Q12" s="294" t="e">
        <f t="shared" si="1"/>
        <v>#REF!</v>
      </c>
      <c r="R12" s="528" t="e">
        <f t="shared" si="0"/>
        <v>#REF!</v>
      </c>
      <c r="S12" s="294">
        <f>515449+186648</f>
        <v>702097</v>
      </c>
      <c r="T12" s="294" t="e">
        <f t="shared" si="2"/>
        <v>#REF!</v>
      </c>
    </row>
    <row r="13" spans="1:21" s="86" customFormat="1" ht="18" customHeight="1">
      <c r="A13" s="1632" t="e">
        <f>DGSP_ChiTiet!#REF!</f>
        <v>#REF!</v>
      </c>
      <c r="B13" s="1873" t="e">
        <f>DGSP_ChiTiet!#REF!</f>
        <v>#REF!</v>
      </c>
      <c r="C13" s="1632" t="e">
        <f>DGSP_ChiTiet!#REF!</f>
        <v>#REF!</v>
      </c>
      <c r="D13" s="521" t="e">
        <f>DGSP_ChiTiet!#REF!</f>
        <v>#REF!</v>
      </c>
      <c r="E13" s="294" t="e">
        <f>DGSP_ChiTiet!#REF!</f>
        <v>#REF!</v>
      </c>
      <c r="F13" s="294" t="e">
        <f>DGSP_ChiTiet!#REF!</f>
        <v>#REF!</v>
      </c>
      <c r="G13" s="294" t="e">
        <f>DGSP_ChiTiet!#REF!</f>
        <v>#REF!</v>
      </c>
      <c r="H13" s="294" t="e">
        <f>DGSP_ChiTiet!#REF!</f>
        <v>#REF!</v>
      </c>
      <c r="I13" s="294" t="e">
        <f>DGSP_ChiTiet!#REF!</f>
        <v>#REF!</v>
      </c>
      <c r="J13" s="294" t="e">
        <f>DGSP_ChiTiet!#REF!</f>
        <v>#REF!</v>
      </c>
      <c r="K13" s="294" t="e">
        <f>DGSP_ChiTiet!#REF!</f>
        <v>#REF!</v>
      </c>
      <c r="L13" s="294" t="e">
        <f>DGSP_ChiTiet!#REF!</f>
        <v>#REF!</v>
      </c>
      <c r="M13" s="294" t="e">
        <f>DGSP_ChiTiet!#REF!</f>
        <v>#REF!</v>
      </c>
      <c r="N13" s="294" t="e">
        <f>DGSP_ChiTiet!#REF!</f>
        <v>#REF!</v>
      </c>
      <c r="O13" s="294" t="e">
        <f>DGSP_ChiTiet!#REF!</f>
        <v>#REF!</v>
      </c>
      <c r="P13" s="294">
        <v>263963</v>
      </c>
      <c r="Q13" s="294" t="e">
        <f t="shared" si="1"/>
        <v>#REF!</v>
      </c>
      <c r="R13" s="528" t="e">
        <f t="shared" si="0"/>
        <v>#REF!</v>
      </c>
      <c r="S13" s="294">
        <f>580647+186648</f>
        <v>767295</v>
      </c>
      <c r="T13" s="294" t="e">
        <f t="shared" si="2"/>
        <v>#REF!</v>
      </c>
    </row>
    <row r="14" spans="1:21" s="83" customFormat="1" ht="50.25" customHeight="1">
      <c r="A14" s="523" t="str">
        <f>DGSP_ChiTiet!B24</f>
        <v>II</v>
      </c>
      <c r="B14" s="522" t="str">
        <f>DGSP_ChiTiet!C24</f>
        <v>Đăng ký, cấp Giấy chứng nhận lần đầu đơn lẻ đối với hộ gia đình, cá nhân, cộng đồng dân cư, tổ chức trong nước, người gốc Việt Nam định cư ở nước ngoài tại địa bàn cấp xã, phường</v>
      </c>
      <c r="C14" s="523">
        <f>DGSP_ChiTiet!D24</f>
        <v>0</v>
      </c>
      <c r="D14" s="523">
        <f>DGSP_ChiTiet!E24</f>
        <v>0</v>
      </c>
      <c r="E14" s="1632" t="str">
        <f>DGSP_ChiTiet!F24</f>
        <v>Đăng ký cấp GCN đối với đất</v>
      </c>
      <c r="F14" s="1632"/>
      <c r="G14" s="1632"/>
      <c r="H14" s="1632"/>
      <c r="I14" s="1632"/>
      <c r="J14" s="1632"/>
      <c r="K14" s="1632"/>
      <c r="L14" s="1632"/>
      <c r="M14" s="1632"/>
      <c r="N14" s="523">
        <f>DGSP_ChiTiet!O24</f>
        <v>0</v>
      </c>
      <c r="O14" s="523">
        <f>DGSP_ChiTiet!P24</f>
        <v>0</v>
      </c>
      <c r="P14" s="294"/>
      <c r="Q14" s="294"/>
      <c r="R14" s="528"/>
      <c r="S14" s="294"/>
      <c r="T14" s="294"/>
    </row>
    <row r="15" spans="1:21" s="86" customFormat="1" ht="14.25" customHeight="1">
      <c r="A15" s="1870" t="str">
        <f>DGSP_ChiTiet!B25</f>
        <v>A</v>
      </c>
      <c r="B15" s="1871" t="str">
        <f>DGSP_ChiTiet!C25</f>
        <v>Tại địa bàn xã, phường, đặc khu</v>
      </c>
      <c r="C15" s="1632" t="str">
        <f>DGSP_ChiTiet!D25</f>
        <v>Hồ sơ</v>
      </c>
      <c r="D15" s="523">
        <f>DGSP_ChiTiet!E25</f>
        <v>1</v>
      </c>
      <c r="E15" s="294">
        <f>DGSP_ChiTiet!F25</f>
        <v>1406558.7900000003</v>
      </c>
      <c r="F15" s="294">
        <f>DGSP_ChiTiet!G25</f>
        <v>127346.15384615384</v>
      </c>
      <c r="G15" s="294">
        <f>DGSP_ChiTiet!H25</f>
        <v>14634.112551961542</v>
      </c>
      <c r="H15" s="294">
        <f>DGSP_ChiTiet!I25</f>
        <v>23374.9</v>
      </c>
      <c r="I15" s="294">
        <f>DGSP_ChiTiet!J25</f>
        <v>10374.665399999998</v>
      </c>
      <c r="J15" s="294">
        <f>DGSP_ChiTiet!K25</f>
        <v>13089.945004500001</v>
      </c>
      <c r="K15" s="294">
        <f>DGSP_ChiTiet!L25</f>
        <v>1595378.5668026155</v>
      </c>
      <c r="L15" s="294">
        <f>DGSP_ChiTiet!M25</f>
        <v>239306.78502039233</v>
      </c>
      <c r="M15" s="294">
        <f>DGSP_ChiTiet!N25</f>
        <v>1834685.3518230079</v>
      </c>
      <c r="N15" s="294">
        <f>DGSP_ChiTiet!O25</f>
        <v>123911.13149999997</v>
      </c>
      <c r="O15" s="294">
        <f>DGSP_ChiTiet!P25</f>
        <v>332655.38461538462</v>
      </c>
      <c r="P15" s="294">
        <v>534315</v>
      </c>
      <c r="Q15" s="294">
        <f>M15-P15</f>
        <v>1300370.3518230079</v>
      </c>
      <c r="R15" s="528">
        <f>Q15/P15*100</f>
        <v>243.37148532663466</v>
      </c>
      <c r="S15" s="294"/>
      <c r="T15" s="294"/>
    </row>
    <row r="16" spans="1:21" s="86" customFormat="1" ht="14.25" customHeight="1">
      <c r="A16" s="1870">
        <f>DGSP_ChiTiet!B26</f>
        <v>0</v>
      </c>
      <c r="B16" s="1871">
        <f>DGSP_ChiTiet!C26</f>
        <v>0</v>
      </c>
      <c r="C16" s="1632">
        <f>DGSP_ChiTiet!D26</f>
        <v>0</v>
      </c>
      <c r="D16" s="523" t="str">
        <f>DGSP_ChiTiet!E26</f>
        <v>2</v>
      </c>
      <c r="E16" s="294">
        <f>DGSP_ChiTiet!F26</f>
        <v>1457876.7450000001</v>
      </c>
      <c r="F16" s="294">
        <f>DGSP_ChiTiet!G26</f>
        <v>140080.76923076925</v>
      </c>
      <c r="G16" s="294">
        <f>DGSP_ChiTiet!H26</f>
        <v>14634.112551961542</v>
      </c>
      <c r="H16" s="294">
        <f>DGSP_ChiTiet!I26</f>
        <v>23374.9</v>
      </c>
      <c r="I16" s="294">
        <f>DGSP_ChiTiet!J26</f>
        <v>10374.665399999998</v>
      </c>
      <c r="J16" s="294">
        <f>DGSP_ChiTiet!K26</f>
        <v>13089.945004500001</v>
      </c>
      <c r="K16" s="294">
        <f>DGSP_ChiTiet!L26</f>
        <v>1659431.1371872309</v>
      </c>
      <c r="L16" s="294">
        <f>DGSP_ChiTiet!M26</f>
        <v>248914.67057808462</v>
      </c>
      <c r="M16" s="294">
        <f>DGSP_ChiTiet!N26</f>
        <v>1908345.8077653155</v>
      </c>
      <c r="N16" s="294">
        <f>DGSP_ChiTiet!O26</f>
        <v>128512.74149999997</v>
      </c>
      <c r="O16" s="294">
        <f>DGSP_ChiTiet!P26</f>
        <v>332318.46153846156</v>
      </c>
      <c r="P16" s="294">
        <v>596747</v>
      </c>
      <c r="Q16" s="294">
        <f>M16-P16</f>
        <v>1311598.8077653155</v>
      </c>
      <c r="R16" s="528">
        <f>Q16/P16*100</f>
        <v>219.79143720292109</v>
      </c>
      <c r="S16" s="294"/>
      <c r="T16" s="294"/>
    </row>
    <row r="17" spans="1:20" s="86" customFormat="1" ht="14.25" customHeight="1">
      <c r="A17" s="1870">
        <f>DGSP_ChiTiet!B27</f>
        <v>0</v>
      </c>
      <c r="B17" s="1871">
        <f>DGSP_ChiTiet!C27</f>
        <v>0</v>
      </c>
      <c r="C17" s="1632">
        <f>DGSP_ChiTiet!D27</f>
        <v>0</v>
      </c>
      <c r="D17" s="523" t="str">
        <f>DGSP_ChiTiet!E27</f>
        <v>3</v>
      </c>
      <c r="E17" s="294">
        <f>DGSP_ChiTiet!F27</f>
        <v>1514326.4955000002</v>
      </c>
      <c r="F17" s="294">
        <f>DGSP_ChiTiet!G27</f>
        <v>154088.84615384616</v>
      </c>
      <c r="G17" s="294">
        <f>DGSP_ChiTiet!H27</f>
        <v>14634.112551961542</v>
      </c>
      <c r="H17" s="294">
        <f>DGSP_ChiTiet!I27</f>
        <v>23374.9</v>
      </c>
      <c r="I17" s="294">
        <f>DGSP_ChiTiet!J27</f>
        <v>10374.665399999998</v>
      </c>
      <c r="J17" s="294">
        <f>DGSP_ChiTiet!K27</f>
        <v>13089.945004500001</v>
      </c>
      <c r="K17" s="294">
        <f>DGSP_ChiTiet!L27</f>
        <v>1729888.9646103079</v>
      </c>
      <c r="L17" s="294">
        <f>DGSP_ChiTiet!M27</f>
        <v>259483.34469154617</v>
      </c>
      <c r="M17" s="294">
        <f>DGSP_ChiTiet!N27</f>
        <v>1989372.3093018541</v>
      </c>
      <c r="N17" s="294">
        <f>DGSP_ChiTiet!O27</f>
        <v>133574.51249999998</v>
      </c>
      <c r="O17" s="294">
        <f>DGSP_ChiTiet!P27</f>
        <v>333610</v>
      </c>
      <c r="P17" s="294">
        <v>654712</v>
      </c>
      <c r="Q17" s="294">
        <f>M17-P17</f>
        <v>1334660.3093018541</v>
      </c>
      <c r="R17" s="528">
        <f>Q17/P17*100</f>
        <v>203.85456648142301</v>
      </c>
      <c r="S17" s="294"/>
      <c r="T17" s="294"/>
    </row>
    <row r="18" spans="1:20" s="86" customFormat="1" ht="14.25" customHeight="1">
      <c r="A18" s="1870" t="e">
        <f>DGSP_ChiTiet!#REF!</f>
        <v>#REF!</v>
      </c>
      <c r="B18" s="1871" t="e">
        <f>DGSP_ChiTiet!#REF!</f>
        <v>#REF!</v>
      </c>
      <c r="C18" s="1632" t="e">
        <f>DGSP_ChiTiet!#REF!</f>
        <v>#REF!</v>
      </c>
      <c r="D18" s="523" t="e">
        <f>DGSP_ChiTiet!#REF!</f>
        <v>#REF!</v>
      </c>
      <c r="E18" s="294" t="e">
        <f>DGSP_ChiTiet!#REF!</f>
        <v>#REF!</v>
      </c>
      <c r="F18" s="294" t="e">
        <f>DGSP_ChiTiet!#REF!</f>
        <v>#REF!</v>
      </c>
      <c r="G18" s="294" t="e">
        <f>DGSP_ChiTiet!#REF!</f>
        <v>#REF!</v>
      </c>
      <c r="H18" s="294" t="e">
        <f>DGSP_ChiTiet!#REF!</f>
        <v>#REF!</v>
      </c>
      <c r="I18" s="294" t="e">
        <f>DGSP_ChiTiet!#REF!</f>
        <v>#REF!</v>
      </c>
      <c r="J18" s="294" t="e">
        <f>DGSP_ChiTiet!#REF!</f>
        <v>#REF!</v>
      </c>
      <c r="K18" s="294" t="e">
        <f>DGSP_ChiTiet!#REF!</f>
        <v>#REF!</v>
      </c>
      <c r="L18" s="294" t="e">
        <f>DGSP_ChiTiet!#REF!</f>
        <v>#REF!</v>
      </c>
      <c r="M18" s="294" t="e">
        <f>DGSP_ChiTiet!#REF!</f>
        <v>#REF!</v>
      </c>
      <c r="N18" s="294" t="e">
        <f>DGSP_ChiTiet!#REF!</f>
        <v>#REF!</v>
      </c>
      <c r="O18" s="294" t="e">
        <f>DGSP_ChiTiet!#REF!</f>
        <v>#REF!</v>
      </c>
      <c r="P18" s="294"/>
      <c r="Q18" s="294"/>
      <c r="R18" s="528"/>
      <c r="S18" s="294"/>
      <c r="T18" s="294"/>
    </row>
    <row r="19" spans="1:20" s="86" customFormat="1" ht="14.25" customHeight="1">
      <c r="A19" s="1870" t="e">
        <f>DGSP_ChiTiet!#REF!</f>
        <v>#REF!</v>
      </c>
      <c r="B19" s="1871" t="e">
        <f>DGSP_ChiTiet!#REF!</f>
        <v>#REF!</v>
      </c>
      <c r="C19" s="1632" t="e">
        <f>DGSP_ChiTiet!#REF!</f>
        <v>#REF!</v>
      </c>
      <c r="D19" s="523" t="e">
        <f>DGSP_ChiTiet!#REF!</f>
        <v>#REF!</v>
      </c>
      <c r="E19" s="294" t="e">
        <f>DGSP_ChiTiet!#REF!</f>
        <v>#REF!</v>
      </c>
      <c r="F19" s="294" t="e">
        <f>DGSP_ChiTiet!#REF!</f>
        <v>#REF!</v>
      </c>
      <c r="G19" s="294" t="e">
        <f>DGSP_ChiTiet!#REF!</f>
        <v>#REF!</v>
      </c>
      <c r="H19" s="294" t="e">
        <f>DGSP_ChiTiet!#REF!</f>
        <v>#REF!</v>
      </c>
      <c r="I19" s="294" t="e">
        <f>DGSP_ChiTiet!#REF!</f>
        <v>#REF!</v>
      </c>
      <c r="J19" s="294" t="e">
        <f>DGSP_ChiTiet!#REF!</f>
        <v>#REF!</v>
      </c>
      <c r="K19" s="294" t="e">
        <f>DGSP_ChiTiet!#REF!</f>
        <v>#REF!</v>
      </c>
      <c r="L19" s="294" t="e">
        <f>DGSP_ChiTiet!#REF!</f>
        <v>#REF!</v>
      </c>
      <c r="M19" s="294" t="e">
        <f>DGSP_ChiTiet!#REF!</f>
        <v>#REF!</v>
      </c>
      <c r="N19" s="294" t="e">
        <f>DGSP_ChiTiet!#REF!</f>
        <v>#REF!</v>
      </c>
      <c r="O19" s="294" t="e">
        <f>DGSP_ChiTiet!#REF!</f>
        <v>#REF!</v>
      </c>
      <c r="P19" s="294"/>
      <c r="Q19" s="294"/>
      <c r="R19" s="528"/>
      <c r="S19" s="294"/>
      <c r="T19" s="294"/>
    </row>
    <row r="20" spans="1:20" s="86" customFormat="1" ht="14.25" customHeight="1">
      <c r="A20" s="1870" t="e">
        <f>DGSP_ChiTiet!#REF!</f>
        <v>#REF!</v>
      </c>
      <c r="B20" s="1871" t="e">
        <f>DGSP_ChiTiet!#REF!</f>
        <v>#REF!</v>
      </c>
      <c r="C20" s="1632" t="e">
        <f>DGSP_ChiTiet!#REF!</f>
        <v>#REF!</v>
      </c>
      <c r="D20" s="523" t="e">
        <f>DGSP_ChiTiet!#REF!</f>
        <v>#REF!</v>
      </c>
      <c r="E20" s="294" t="e">
        <f>DGSP_ChiTiet!#REF!</f>
        <v>#REF!</v>
      </c>
      <c r="F20" s="294" t="e">
        <f>DGSP_ChiTiet!#REF!</f>
        <v>#REF!</v>
      </c>
      <c r="G20" s="294" t="e">
        <f>DGSP_ChiTiet!#REF!</f>
        <v>#REF!</v>
      </c>
      <c r="H20" s="294" t="e">
        <f>DGSP_ChiTiet!#REF!</f>
        <v>#REF!</v>
      </c>
      <c r="I20" s="294" t="e">
        <f>DGSP_ChiTiet!#REF!</f>
        <v>#REF!</v>
      </c>
      <c r="J20" s="294" t="e">
        <f>DGSP_ChiTiet!#REF!</f>
        <v>#REF!</v>
      </c>
      <c r="K20" s="294" t="e">
        <f>DGSP_ChiTiet!#REF!</f>
        <v>#REF!</v>
      </c>
      <c r="L20" s="294" t="e">
        <f>DGSP_ChiTiet!#REF!</f>
        <v>#REF!</v>
      </c>
      <c r="M20" s="294" t="e">
        <f>DGSP_ChiTiet!#REF!</f>
        <v>#REF!</v>
      </c>
      <c r="N20" s="294" t="e">
        <f>DGSP_ChiTiet!#REF!</f>
        <v>#REF!</v>
      </c>
      <c r="O20" s="294" t="e">
        <f>DGSP_ChiTiet!#REF!</f>
        <v>#REF!</v>
      </c>
      <c r="P20" s="294"/>
      <c r="Q20" s="294"/>
      <c r="R20" s="528"/>
      <c r="S20" s="294"/>
      <c r="T20" s="294"/>
    </row>
    <row r="21" spans="1:20" s="86" customFormat="1" ht="14.25" customHeight="1">
      <c r="A21" s="1870" t="e">
        <f>DGSP_ChiTiet!#REF!</f>
        <v>#REF!</v>
      </c>
      <c r="B21" s="1871" t="e">
        <f>DGSP_ChiTiet!#REF!</f>
        <v>#REF!</v>
      </c>
      <c r="C21" s="1632" t="e">
        <f>DGSP_ChiTiet!#REF!</f>
        <v>#REF!</v>
      </c>
      <c r="D21" s="523" t="e">
        <f>DGSP_ChiTiet!#REF!</f>
        <v>#REF!</v>
      </c>
      <c r="E21" s="294" t="e">
        <f>DGSP_ChiTiet!#REF!</f>
        <v>#REF!</v>
      </c>
      <c r="F21" s="294" t="e">
        <f>DGSP_ChiTiet!#REF!</f>
        <v>#REF!</v>
      </c>
      <c r="G21" s="294" t="e">
        <f>DGSP_ChiTiet!#REF!</f>
        <v>#REF!</v>
      </c>
      <c r="H21" s="294" t="e">
        <f>DGSP_ChiTiet!#REF!</f>
        <v>#REF!</v>
      </c>
      <c r="I21" s="294" t="e">
        <f>DGSP_ChiTiet!#REF!</f>
        <v>#REF!</v>
      </c>
      <c r="J21" s="294" t="e">
        <f>DGSP_ChiTiet!#REF!</f>
        <v>#REF!</v>
      </c>
      <c r="K21" s="294" t="e">
        <f>DGSP_ChiTiet!#REF!</f>
        <v>#REF!</v>
      </c>
      <c r="L21" s="294" t="e">
        <f>DGSP_ChiTiet!#REF!</f>
        <v>#REF!</v>
      </c>
      <c r="M21" s="294" t="e">
        <f>DGSP_ChiTiet!#REF!</f>
        <v>#REF!</v>
      </c>
      <c r="N21" s="294" t="e">
        <f>DGSP_ChiTiet!#REF!</f>
        <v>#REF!</v>
      </c>
      <c r="O21" s="294" t="e">
        <f>DGSP_ChiTiet!#REF!</f>
        <v>#REF!</v>
      </c>
      <c r="P21" s="294">
        <v>884947</v>
      </c>
      <c r="Q21" s="294" t="e">
        <f>M21-P21</f>
        <v>#REF!</v>
      </c>
      <c r="R21" s="528" t="e">
        <f>Q21/P21*100</f>
        <v>#REF!</v>
      </c>
      <c r="S21" s="294"/>
      <c r="T21" s="294"/>
    </row>
    <row r="22" spans="1:20" s="86" customFormat="1" ht="14.25" customHeight="1">
      <c r="A22" s="1870" t="e">
        <f>DGSP_ChiTiet!#REF!</f>
        <v>#REF!</v>
      </c>
      <c r="B22" s="1871" t="e">
        <f>DGSP_ChiTiet!#REF!</f>
        <v>#REF!</v>
      </c>
      <c r="C22" s="1632" t="e">
        <f>DGSP_ChiTiet!#REF!</f>
        <v>#REF!</v>
      </c>
      <c r="D22" s="523" t="e">
        <f>DGSP_ChiTiet!#REF!</f>
        <v>#REF!</v>
      </c>
      <c r="E22" s="294" t="e">
        <f>DGSP_ChiTiet!#REF!</f>
        <v>#REF!</v>
      </c>
      <c r="F22" s="294" t="e">
        <f>DGSP_ChiTiet!#REF!</f>
        <v>#REF!</v>
      </c>
      <c r="G22" s="294" t="e">
        <f>DGSP_ChiTiet!#REF!</f>
        <v>#REF!</v>
      </c>
      <c r="H22" s="294" t="e">
        <f>DGSP_ChiTiet!#REF!</f>
        <v>#REF!</v>
      </c>
      <c r="I22" s="294" t="e">
        <f>DGSP_ChiTiet!#REF!</f>
        <v>#REF!</v>
      </c>
      <c r="J22" s="294" t="e">
        <f>DGSP_ChiTiet!#REF!</f>
        <v>#REF!</v>
      </c>
      <c r="K22" s="294" t="e">
        <f>DGSP_ChiTiet!#REF!</f>
        <v>#REF!</v>
      </c>
      <c r="L22" s="294" t="e">
        <f>DGSP_ChiTiet!#REF!</f>
        <v>#REF!</v>
      </c>
      <c r="M22" s="294" t="e">
        <f>DGSP_ChiTiet!#REF!</f>
        <v>#REF!</v>
      </c>
      <c r="N22" s="294" t="e">
        <f>DGSP_ChiTiet!#REF!</f>
        <v>#REF!</v>
      </c>
      <c r="O22" s="294" t="e">
        <f>DGSP_ChiTiet!#REF!</f>
        <v>#REF!</v>
      </c>
      <c r="P22" s="294">
        <v>989956</v>
      </c>
      <c r="Q22" s="294" t="e">
        <f>M22-P22</f>
        <v>#REF!</v>
      </c>
      <c r="R22" s="528" t="e">
        <f>Q22/P22*100</f>
        <v>#REF!</v>
      </c>
      <c r="S22" s="294"/>
      <c r="T22" s="294"/>
    </row>
    <row r="23" spans="1:20" s="86" customFormat="1" ht="14.25" customHeight="1">
      <c r="A23" s="1870" t="e">
        <f>DGSP_ChiTiet!#REF!</f>
        <v>#REF!</v>
      </c>
      <c r="B23" s="1871" t="e">
        <f>DGSP_ChiTiet!#REF!</f>
        <v>#REF!</v>
      </c>
      <c r="C23" s="1632" t="e">
        <f>DGSP_ChiTiet!#REF!</f>
        <v>#REF!</v>
      </c>
      <c r="D23" s="523" t="e">
        <f>DGSP_ChiTiet!#REF!</f>
        <v>#REF!</v>
      </c>
      <c r="E23" s="294" t="e">
        <f>DGSP_ChiTiet!#REF!</f>
        <v>#REF!</v>
      </c>
      <c r="F23" s="294" t="e">
        <f>DGSP_ChiTiet!#REF!</f>
        <v>#REF!</v>
      </c>
      <c r="G23" s="294" t="e">
        <f>DGSP_ChiTiet!#REF!</f>
        <v>#REF!</v>
      </c>
      <c r="H23" s="294" t="e">
        <f>DGSP_ChiTiet!#REF!</f>
        <v>#REF!</v>
      </c>
      <c r="I23" s="294" t="e">
        <f>DGSP_ChiTiet!#REF!</f>
        <v>#REF!</v>
      </c>
      <c r="J23" s="294" t="e">
        <f>DGSP_ChiTiet!#REF!</f>
        <v>#REF!</v>
      </c>
      <c r="K23" s="294" t="e">
        <f>DGSP_ChiTiet!#REF!</f>
        <v>#REF!</v>
      </c>
      <c r="L23" s="294" t="e">
        <f>DGSP_ChiTiet!#REF!</f>
        <v>#REF!</v>
      </c>
      <c r="M23" s="294" t="e">
        <f>DGSP_ChiTiet!#REF!</f>
        <v>#REF!</v>
      </c>
      <c r="N23" s="294" t="e">
        <f>DGSP_ChiTiet!#REF!</f>
        <v>#REF!</v>
      </c>
      <c r="O23" s="294" t="e">
        <f>DGSP_ChiTiet!#REF!</f>
        <v>#REF!</v>
      </c>
      <c r="P23" s="294">
        <v>1127766</v>
      </c>
      <c r="Q23" s="294" t="e">
        <f>M23-P23</f>
        <v>#REF!</v>
      </c>
      <c r="R23" s="528" t="e">
        <f>Q23/P23*100</f>
        <v>#REF!</v>
      </c>
      <c r="S23" s="294"/>
      <c r="T23" s="294"/>
    </row>
    <row r="24" spans="1:20" s="86" customFormat="1" ht="14.25" customHeight="1">
      <c r="A24" s="1870" t="e">
        <f>DGSP_ChiTiet!#REF!</f>
        <v>#REF!</v>
      </c>
      <c r="B24" s="1871" t="e">
        <f>DGSP_ChiTiet!#REF!</f>
        <v>#REF!</v>
      </c>
      <c r="C24" s="1632" t="e">
        <f>DGSP_ChiTiet!#REF!</f>
        <v>#REF!</v>
      </c>
      <c r="D24" s="523" t="e">
        <f>DGSP_ChiTiet!#REF!</f>
        <v>#REF!</v>
      </c>
      <c r="E24" s="294" t="e">
        <f>DGSP_ChiTiet!#REF!</f>
        <v>#REF!</v>
      </c>
      <c r="F24" s="294" t="e">
        <f>DGSP_ChiTiet!#REF!</f>
        <v>#REF!</v>
      </c>
      <c r="G24" s="294" t="e">
        <f>DGSP_ChiTiet!#REF!</f>
        <v>#REF!</v>
      </c>
      <c r="H24" s="294" t="e">
        <f>DGSP_ChiTiet!#REF!</f>
        <v>#REF!</v>
      </c>
      <c r="I24" s="294" t="e">
        <f>DGSP_ChiTiet!#REF!</f>
        <v>#REF!</v>
      </c>
      <c r="J24" s="294" t="e">
        <f>DGSP_ChiTiet!#REF!</f>
        <v>#REF!</v>
      </c>
      <c r="K24" s="294" t="e">
        <f>DGSP_ChiTiet!#REF!</f>
        <v>#REF!</v>
      </c>
      <c r="L24" s="294" t="e">
        <f>DGSP_ChiTiet!#REF!</f>
        <v>#REF!</v>
      </c>
      <c r="M24" s="294" t="e">
        <f>DGSP_ChiTiet!#REF!</f>
        <v>#REF!</v>
      </c>
      <c r="N24" s="294" t="e">
        <f>DGSP_ChiTiet!#REF!</f>
        <v>#REF!</v>
      </c>
      <c r="O24" s="294" t="e">
        <f>DGSP_ChiTiet!#REF!</f>
        <v>#REF!</v>
      </c>
      <c r="P24" s="294">
        <v>1293490</v>
      </c>
      <c r="Q24" s="294" t="e">
        <f>M24-P24</f>
        <v>#REF!</v>
      </c>
      <c r="R24" s="528" t="e">
        <f>Q24/P24*100</f>
        <v>#REF!</v>
      </c>
      <c r="S24" s="294"/>
      <c r="T24" s="294"/>
    </row>
    <row r="25" spans="1:20" s="83" customFormat="1" ht="14.25" customHeight="1">
      <c r="A25" s="523"/>
      <c r="B25" s="522"/>
      <c r="C25" s="523">
        <f t="shared" ref="C25:D35" si="3">C14</f>
        <v>0</v>
      </c>
      <c r="D25" s="523">
        <f t="shared" si="3"/>
        <v>0</v>
      </c>
      <c r="E25" s="1632" t="str">
        <f>DGSP_ChiTiet!Q24</f>
        <v>Đăng ký cấp GCN đối với tài sản</v>
      </c>
      <c r="F25" s="1632"/>
      <c r="G25" s="1632"/>
      <c r="H25" s="1632"/>
      <c r="I25" s="1632"/>
      <c r="J25" s="1632"/>
      <c r="K25" s="1632"/>
      <c r="L25" s="1632"/>
      <c r="M25" s="1632"/>
      <c r="N25" s="523">
        <f>DGSP_ChiTiet!Z24</f>
        <v>0</v>
      </c>
      <c r="O25" s="523">
        <f>DGSP_ChiTiet!AA24</f>
        <v>0</v>
      </c>
      <c r="P25" s="294"/>
      <c r="Q25" s="294">
        <f>M25-P25</f>
        <v>0</v>
      </c>
      <c r="R25" s="528"/>
      <c r="S25" s="294"/>
      <c r="T25" s="294"/>
    </row>
    <row r="26" spans="1:20" s="86" customFormat="1" ht="14.25" customHeight="1">
      <c r="A26" s="1870" t="str">
        <f t="shared" ref="A26:B35" si="4">A15</f>
        <v>A</v>
      </c>
      <c r="B26" s="1871" t="str">
        <f t="shared" si="4"/>
        <v>Tại địa bàn xã, phường, đặc khu</v>
      </c>
      <c r="C26" s="1632" t="str">
        <f t="shared" si="3"/>
        <v>Hồ sơ</v>
      </c>
      <c r="D26" s="523">
        <f t="shared" si="3"/>
        <v>1</v>
      </c>
      <c r="E26" s="294">
        <f>DGSP_ChiTiet!Q25</f>
        <v>1391720.2650000001</v>
      </c>
      <c r="F26" s="294">
        <f>DGSP_ChiTiet!R25</f>
        <v>127346.15384615384</v>
      </c>
      <c r="G26" s="294">
        <f>DGSP_ChiTiet!S25</f>
        <v>14634.112551961542</v>
      </c>
      <c r="H26" s="294">
        <f>DGSP_ChiTiet!T25</f>
        <v>23374.9</v>
      </c>
      <c r="I26" s="294">
        <f>DGSP_ChiTiet!U25</f>
        <v>10374.665399999998</v>
      </c>
      <c r="J26" s="294">
        <f>DGSP_ChiTiet!V25</f>
        <v>13089.945004500001</v>
      </c>
      <c r="K26" s="294">
        <f>DGSP_ChiTiet!W25</f>
        <v>1580540.0418026154</v>
      </c>
      <c r="L26" s="294">
        <f>DGSP_ChiTiet!X25</f>
        <v>237081.0062703923</v>
      </c>
      <c r="M26" s="294">
        <f>DGSP_ChiTiet!Y25</f>
        <v>1817621.0480730077</v>
      </c>
      <c r="N26" s="294">
        <f>DGSP_ChiTiet!Z25</f>
        <v>122632.90649999998</v>
      </c>
      <c r="O26" s="294">
        <f>DGSP_ChiTiet!AA25</f>
        <v>332655.38461538462</v>
      </c>
      <c r="P26" s="294"/>
      <c r="Q26" s="294"/>
      <c r="R26" s="528"/>
      <c r="S26" s="294"/>
      <c r="T26" s="294"/>
    </row>
    <row r="27" spans="1:20" s="86" customFormat="1" ht="14.25" customHeight="1">
      <c r="A27" s="1870">
        <f t="shared" si="4"/>
        <v>0</v>
      </c>
      <c r="B27" s="1871">
        <f t="shared" si="4"/>
        <v>0</v>
      </c>
      <c r="C27" s="1632">
        <f t="shared" si="3"/>
        <v>0</v>
      </c>
      <c r="D27" s="523" t="str">
        <f t="shared" si="3"/>
        <v>2</v>
      </c>
      <c r="E27" s="294">
        <f>DGSP_ChiTiet!Q26</f>
        <v>1443038.2200000002</v>
      </c>
      <c r="F27" s="294">
        <f>DGSP_ChiTiet!R26</f>
        <v>140080.76923076925</v>
      </c>
      <c r="G27" s="294">
        <f>DGSP_ChiTiet!S26</f>
        <v>14634.112551961542</v>
      </c>
      <c r="H27" s="294">
        <f>DGSP_ChiTiet!T26</f>
        <v>23374.9</v>
      </c>
      <c r="I27" s="294">
        <f>DGSP_ChiTiet!U26</f>
        <v>10374.665399999998</v>
      </c>
      <c r="J27" s="294">
        <f>DGSP_ChiTiet!V26</f>
        <v>13089.945004500001</v>
      </c>
      <c r="K27" s="294">
        <f>DGSP_ChiTiet!W26</f>
        <v>1644592.612187231</v>
      </c>
      <c r="L27" s="294">
        <f>DGSP_ChiTiet!X26</f>
        <v>246688.89182808463</v>
      </c>
      <c r="M27" s="294">
        <f>DGSP_ChiTiet!Y26</f>
        <v>1891281.5040153156</v>
      </c>
      <c r="N27" s="294">
        <f>DGSP_ChiTiet!Z26</f>
        <v>127234.51649999998</v>
      </c>
      <c r="O27" s="294">
        <f>DGSP_ChiTiet!AA26</f>
        <v>332318.46153846156</v>
      </c>
      <c r="P27" s="294"/>
      <c r="Q27" s="294"/>
      <c r="R27" s="528"/>
      <c r="S27" s="294"/>
      <c r="T27" s="294"/>
    </row>
    <row r="28" spans="1:20" s="86" customFormat="1" ht="14.25" customHeight="1">
      <c r="A28" s="1870">
        <f t="shared" si="4"/>
        <v>0</v>
      </c>
      <c r="B28" s="1871">
        <f t="shared" si="4"/>
        <v>0</v>
      </c>
      <c r="C28" s="1632">
        <f t="shared" si="3"/>
        <v>0</v>
      </c>
      <c r="D28" s="523" t="str">
        <f t="shared" si="3"/>
        <v>3</v>
      </c>
      <c r="E28" s="294">
        <f>DGSP_ChiTiet!Q27</f>
        <v>1499487.9705000003</v>
      </c>
      <c r="F28" s="294">
        <f>DGSP_ChiTiet!R27</f>
        <v>154088.84615384616</v>
      </c>
      <c r="G28" s="294">
        <f>DGSP_ChiTiet!S27</f>
        <v>14634.112551961542</v>
      </c>
      <c r="H28" s="294">
        <f>DGSP_ChiTiet!T27</f>
        <v>23374.9</v>
      </c>
      <c r="I28" s="294">
        <f>DGSP_ChiTiet!U27</f>
        <v>10374.665399999998</v>
      </c>
      <c r="J28" s="294">
        <f>DGSP_ChiTiet!V27</f>
        <v>13089.945004500001</v>
      </c>
      <c r="K28" s="294">
        <f>DGSP_ChiTiet!W27</f>
        <v>1715050.439610308</v>
      </c>
      <c r="L28" s="294">
        <f>DGSP_ChiTiet!X27</f>
        <v>257257.5659415462</v>
      </c>
      <c r="M28" s="294">
        <f>DGSP_ChiTiet!Y27</f>
        <v>1972308.0055518541</v>
      </c>
      <c r="N28" s="294">
        <f>DGSP_ChiTiet!Z27</f>
        <v>132296.28749999998</v>
      </c>
      <c r="O28" s="294">
        <f>DGSP_ChiTiet!AA27</f>
        <v>332206.15384615387</v>
      </c>
      <c r="P28" s="294"/>
      <c r="Q28" s="294"/>
      <c r="R28" s="528"/>
      <c r="S28" s="294"/>
      <c r="T28" s="294"/>
    </row>
    <row r="29" spans="1:20" s="86" customFormat="1" ht="14.25" customHeight="1">
      <c r="A29" s="1870" t="e">
        <f t="shared" si="4"/>
        <v>#REF!</v>
      </c>
      <c r="B29" s="1871" t="e">
        <f t="shared" si="4"/>
        <v>#REF!</v>
      </c>
      <c r="C29" s="1632" t="e">
        <f t="shared" si="3"/>
        <v>#REF!</v>
      </c>
      <c r="D29" s="523" t="e">
        <f t="shared" si="3"/>
        <v>#REF!</v>
      </c>
      <c r="E29" s="294" t="e">
        <f>DGSP_ChiTiet!#REF!</f>
        <v>#REF!</v>
      </c>
      <c r="F29" s="294" t="e">
        <f>DGSP_ChiTiet!#REF!</f>
        <v>#REF!</v>
      </c>
      <c r="G29" s="294" t="e">
        <f>DGSP_ChiTiet!#REF!</f>
        <v>#REF!</v>
      </c>
      <c r="H29" s="294" t="e">
        <f>DGSP_ChiTiet!#REF!</f>
        <v>#REF!</v>
      </c>
      <c r="I29" s="294" t="e">
        <f>DGSP_ChiTiet!#REF!</f>
        <v>#REF!</v>
      </c>
      <c r="J29" s="294" t="e">
        <f>DGSP_ChiTiet!#REF!</f>
        <v>#REF!</v>
      </c>
      <c r="K29" s="294" t="e">
        <f>DGSP_ChiTiet!#REF!</f>
        <v>#REF!</v>
      </c>
      <c r="L29" s="294" t="e">
        <f>DGSP_ChiTiet!#REF!</f>
        <v>#REF!</v>
      </c>
      <c r="M29" s="294" t="e">
        <f>DGSP_ChiTiet!#REF!</f>
        <v>#REF!</v>
      </c>
      <c r="N29" s="294" t="e">
        <f>DGSP_ChiTiet!#REF!</f>
        <v>#REF!</v>
      </c>
      <c r="O29" s="294" t="e">
        <f>DGSP_ChiTiet!#REF!</f>
        <v>#REF!</v>
      </c>
      <c r="P29" s="294"/>
      <c r="Q29" s="294"/>
      <c r="R29" s="528"/>
      <c r="S29" s="294"/>
      <c r="T29" s="294"/>
    </row>
    <row r="30" spans="1:20" s="86" customFormat="1" ht="14.25" customHeight="1">
      <c r="A30" s="1870" t="e">
        <f t="shared" si="4"/>
        <v>#REF!</v>
      </c>
      <c r="B30" s="1871" t="e">
        <f t="shared" si="4"/>
        <v>#REF!</v>
      </c>
      <c r="C30" s="1632" t="e">
        <f t="shared" si="3"/>
        <v>#REF!</v>
      </c>
      <c r="D30" s="523" t="e">
        <f t="shared" si="3"/>
        <v>#REF!</v>
      </c>
      <c r="E30" s="294" t="e">
        <f>DGSP_ChiTiet!#REF!</f>
        <v>#REF!</v>
      </c>
      <c r="F30" s="294" t="e">
        <f>DGSP_ChiTiet!#REF!</f>
        <v>#REF!</v>
      </c>
      <c r="G30" s="294" t="e">
        <f>DGSP_ChiTiet!#REF!</f>
        <v>#REF!</v>
      </c>
      <c r="H30" s="294" t="e">
        <f>DGSP_ChiTiet!#REF!</f>
        <v>#REF!</v>
      </c>
      <c r="I30" s="294" t="e">
        <f>DGSP_ChiTiet!#REF!</f>
        <v>#REF!</v>
      </c>
      <c r="J30" s="294" t="e">
        <f>DGSP_ChiTiet!#REF!</f>
        <v>#REF!</v>
      </c>
      <c r="K30" s="294" t="e">
        <f>DGSP_ChiTiet!#REF!</f>
        <v>#REF!</v>
      </c>
      <c r="L30" s="294" t="e">
        <f>DGSP_ChiTiet!#REF!</f>
        <v>#REF!</v>
      </c>
      <c r="M30" s="294" t="e">
        <f>DGSP_ChiTiet!#REF!</f>
        <v>#REF!</v>
      </c>
      <c r="N30" s="294" t="e">
        <f>DGSP_ChiTiet!#REF!</f>
        <v>#REF!</v>
      </c>
      <c r="O30" s="294" t="e">
        <f>DGSP_ChiTiet!#REF!</f>
        <v>#REF!</v>
      </c>
      <c r="P30" s="294"/>
      <c r="Q30" s="294"/>
      <c r="R30" s="528"/>
      <c r="S30" s="294"/>
      <c r="T30" s="294"/>
    </row>
    <row r="31" spans="1:20" s="86" customFormat="1" ht="14.25" customHeight="1">
      <c r="A31" s="1870" t="e">
        <f t="shared" si="4"/>
        <v>#REF!</v>
      </c>
      <c r="B31" s="1871" t="e">
        <f t="shared" si="4"/>
        <v>#REF!</v>
      </c>
      <c r="C31" s="1632" t="e">
        <f t="shared" si="3"/>
        <v>#REF!</v>
      </c>
      <c r="D31" s="523" t="e">
        <f t="shared" si="3"/>
        <v>#REF!</v>
      </c>
      <c r="E31" s="294" t="e">
        <f>DGSP_ChiTiet!#REF!</f>
        <v>#REF!</v>
      </c>
      <c r="F31" s="294" t="e">
        <f>DGSP_ChiTiet!#REF!</f>
        <v>#REF!</v>
      </c>
      <c r="G31" s="294" t="e">
        <f>DGSP_ChiTiet!#REF!</f>
        <v>#REF!</v>
      </c>
      <c r="H31" s="294" t="e">
        <f>DGSP_ChiTiet!#REF!</f>
        <v>#REF!</v>
      </c>
      <c r="I31" s="294" t="e">
        <f>DGSP_ChiTiet!#REF!</f>
        <v>#REF!</v>
      </c>
      <c r="J31" s="294" t="e">
        <f>DGSP_ChiTiet!#REF!</f>
        <v>#REF!</v>
      </c>
      <c r="K31" s="294" t="e">
        <f>DGSP_ChiTiet!#REF!</f>
        <v>#REF!</v>
      </c>
      <c r="L31" s="294" t="e">
        <f>DGSP_ChiTiet!#REF!</f>
        <v>#REF!</v>
      </c>
      <c r="M31" s="294" t="e">
        <f>DGSP_ChiTiet!#REF!</f>
        <v>#REF!</v>
      </c>
      <c r="N31" s="294" t="e">
        <f>DGSP_ChiTiet!#REF!</f>
        <v>#REF!</v>
      </c>
      <c r="O31" s="294" t="e">
        <f>DGSP_ChiTiet!#REF!</f>
        <v>#REF!</v>
      </c>
      <c r="P31" s="294"/>
      <c r="Q31" s="294"/>
      <c r="R31" s="528"/>
      <c r="S31" s="294"/>
      <c r="T31" s="294"/>
    </row>
    <row r="32" spans="1:20" s="86" customFormat="1" ht="14.25" customHeight="1">
      <c r="A32" s="1870" t="e">
        <f t="shared" si="4"/>
        <v>#REF!</v>
      </c>
      <c r="B32" s="1871" t="e">
        <f t="shared" si="4"/>
        <v>#REF!</v>
      </c>
      <c r="C32" s="1632" t="e">
        <f t="shared" si="3"/>
        <v>#REF!</v>
      </c>
      <c r="D32" s="523" t="e">
        <f t="shared" si="3"/>
        <v>#REF!</v>
      </c>
      <c r="E32" s="294" t="e">
        <f>DGSP_ChiTiet!#REF!</f>
        <v>#REF!</v>
      </c>
      <c r="F32" s="294" t="e">
        <f>DGSP_ChiTiet!#REF!</f>
        <v>#REF!</v>
      </c>
      <c r="G32" s="294" t="e">
        <f>DGSP_ChiTiet!#REF!</f>
        <v>#REF!</v>
      </c>
      <c r="H32" s="294" t="e">
        <f>DGSP_ChiTiet!#REF!</f>
        <v>#REF!</v>
      </c>
      <c r="I32" s="294" t="e">
        <f>DGSP_ChiTiet!#REF!</f>
        <v>#REF!</v>
      </c>
      <c r="J32" s="294" t="e">
        <f>DGSP_ChiTiet!#REF!</f>
        <v>#REF!</v>
      </c>
      <c r="K32" s="294" t="e">
        <f>DGSP_ChiTiet!#REF!</f>
        <v>#REF!</v>
      </c>
      <c r="L32" s="294" t="e">
        <f>DGSP_ChiTiet!#REF!</f>
        <v>#REF!</v>
      </c>
      <c r="M32" s="294" t="e">
        <f>DGSP_ChiTiet!#REF!</f>
        <v>#REF!</v>
      </c>
      <c r="N32" s="294" t="e">
        <f>DGSP_ChiTiet!#REF!</f>
        <v>#REF!</v>
      </c>
      <c r="O32" s="294" t="e">
        <f>DGSP_ChiTiet!#REF!</f>
        <v>#REF!</v>
      </c>
      <c r="P32" s="294"/>
      <c r="Q32" s="294"/>
      <c r="R32" s="528"/>
      <c r="S32" s="294"/>
      <c r="T32" s="294"/>
    </row>
    <row r="33" spans="1:20" s="86" customFormat="1" ht="14.25" customHeight="1">
      <c r="A33" s="1870" t="e">
        <f t="shared" si="4"/>
        <v>#REF!</v>
      </c>
      <c r="B33" s="1871" t="e">
        <f t="shared" si="4"/>
        <v>#REF!</v>
      </c>
      <c r="C33" s="1632" t="e">
        <f t="shared" si="3"/>
        <v>#REF!</v>
      </c>
      <c r="D33" s="523" t="e">
        <f t="shared" si="3"/>
        <v>#REF!</v>
      </c>
      <c r="E33" s="294" t="e">
        <f>DGSP_ChiTiet!#REF!</f>
        <v>#REF!</v>
      </c>
      <c r="F33" s="294" t="e">
        <f>DGSP_ChiTiet!#REF!</f>
        <v>#REF!</v>
      </c>
      <c r="G33" s="294" t="e">
        <f>DGSP_ChiTiet!#REF!</f>
        <v>#REF!</v>
      </c>
      <c r="H33" s="294" t="e">
        <f>DGSP_ChiTiet!#REF!</f>
        <v>#REF!</v>
      </c>
      <c r="I33" s="294" t="e">
        <f>DGSP_ChiTiet!#REF!</f>
        <v>#REF!</v>
      </c>
      <c r="J33" s="294" t="e">
        <f>DGSP_ChiTiet!#REF!</f>
        <v>#REF!</v>
      </c>
      <c r="K33" s="294" t="e">
        <f>DGSP_ChiTiet!#REF!</f>
        <v>#REF!</v>
      </c>
      <c r="L33" s="294" t="e">
        <f>DGSP_ChiTiet!#REF!</f>
        <v>#REF!</v>
      </c>
      <c r="M33" s="294" t="e">
        <f>DGSP_ChiTiet!#REF!</f>
        <v>#REF!</v>
      </c>
      <c r="N33" s="294" t="e">
        <f>DGSP_ChiTiet!#REF!</f>
        <v>#REF!</v>
      </c>
      <c r="O33" s="294" t="e">
        <f>DGSP_ChiTiet!#REF!</f>
        <v>#REF!</v>
      </c>
      <c r="P33" s="294"/>
      <c r="Q33" s="294"/>
      <c r="R33" s="528"/>
      <c r="S33" s="294"/>
      <c r="T33" s="294"/>
    </row>
    <row r="34" spans="1:20" s="86" customFormat="1" ht="14.25" customHeight="1">
      <c r="A34" s="1870" t="e">
        <f t="shared" si="4"/>
        <v>#REF!</v>
      </c>
      <c r="B34" s="1871" t="e">
        <f t="shared" si="4"/>
        <v>#REF!</v>
      </c>
      <c r="C34" s="1632" t="e">
        <f t="shared" si="3"/>
        <v>#REF!</v>
      </c>
      <c r="D34" s="523" t="e">
        <f t="shared" si="3"/>
        <v>#REF!</v>
      </c>
      <c r="E34" s="294" t="e">
        <f>DGSP_ChiTiet!#REF!</f>
        <v>#REF!</v>
      </c>
      <c r="F34" s="294" t="e">
        <f>DGSP_ChiTiet!#REF!</f>
        <v>#REF!</v>
      </c>
      <c r="G34" s="294" t="e">
        <f>DGSP_ChiTiet!#REF!</f>
        <v>#REF!</v>
      </c>
      <c r="H34" s="294" t="e">
        <f>DGSP_ChiTiet!#REF!</f>
        <v>#REF!</v>
      </c>
      <c r="I34" s="294" t="e">
        <f>DGSP_ChiTiet!#REF!</f>
        <v>#REF!</v>
      </c>
      <c r="J34" s="294" t="e">
        <f>DGSP_ChiTiet!#REF!</f>
        <v>#REF!</v>
      </c>
      <c r="K34" s="294" t="e">
        <f>DGSP_ChiTiet!#REF!</f>
        <v>#REF!</v>
      </c>
      <c r="L34" s="294" t="e">
        <f>DGSP_ChiTiet!#REF!</f>
        <v>#REF!</v>
      </c>
      <c r="M34" s="294" t="e">
        <f>DGSP_ChiTiet!#REF!</f>
        <v>#REF!</v>
      </c>
      <c r="N34" s="294" t="e">
        <f>DGSP_ChiTiet!#REF!</f>
        <v>#REF!</v>
      </c>
      <c r="O34" s="294" t="e">
        <f>DGSP_ChiTiet!#REF!</f>
        <v>#REF!</v>
      </c>
      <c r="P34" s="294"/>
      <c r="Q34" s="294"/>
      <c r="R34" s="528"/>
      <c r="S34" s="294"/>
      <c r="T34" s="294"/>
    </row>
    <row r="35" spans="1:20" s="86" customFormat="1" ht="14.25" customHeight="1">
      <c r="A35" s="1870" t="e">
        <f t="shared" si="4"/>
        <v>#REF!</v>
      </c>
      <c r="B35" s="1871" t="e">
        <f t="shared" si="4"/>
        <v>#REF!</v>
      </c>
      <c r="C35" s="1632" t="e">
        <f t="shared" si="3"/>
        <v>#REF!</v>
      </c>
      <c r="D35" s="523" t="e">
        <f t="shared" si="3"/>
        <v>#REF!</v>
      </c>
      <c r="E35" s="294" t="e">
        <f>DGSP_ChiTiet!#REF!</f>
        <v>#REF!</v>
      </c>
      <c r="F35" s="294" t="e">
        <f>DGSP_ChiTiet!#REF!</f>
        <v>#REF!</v>
      </c>
      <c r="G35" s="294" t="e">
        <f>DGSP_ChiTiet!#REF!</f>
        <v>#REF!</v>
      </c>
      <c r="H35" s="294" t="e">
        <f>DGSP_ChiTiet!#REF!</f>
        <v>#REF!</v>
      </c>
      <c r="I35" s="294" t="e">
        <f>DGSP_ChiTiet!#REF!</f>
        <v>#REF!</v>
      </c>
      <c r="J35" s="294" t="e">
        <f>DGSP_ChiTiet!#REF!</f>
        <v>#REF!</v>
      </c>
      <c r="K35" s="294" t="e">
        <f>DGSP_ChiTiet!#REF!</f>
        <v>#REF!</v>
      </c>
      <c r="L35" s="294" t="e">
        <f>DGSP_ChiTiet!#REF!</f>
        <v>#REF!</v>
      </c>
      <c r="M35" s="294" t="e">
        <f>DGSP_ChiTiet!#REF!</f>
        <v>#REF!</v>
      </c>
      <c r="N35" s="294" t="e">
        <f>DGSP_ChiTiet!#REF!</f>
        <v>#REF!</v>
      </c>
      <c r="O35" s="294" t="e">
        <f>DGSP_ChiTiet!#REF!</f>
        <v>#REF!</v>
      </c>
      <c r="P35" s="294"/>
      <c r="Q35" s="294"/>
      <c r="R35" s="528"/>
      <c r="S35" s="294"/>
      <c r="T35" s="294"/>
    </row>
    <row r="36" spans="1:20" s="83" customFormat="1" ht="36" customHeight="1">
      <c r="A36" s="523"/>
      <c r="B36" s="522"/>
      <c r="C36" s="523">
        <f t="shared" ref="C36:D46" si="5">C14</f>
        <v>0</v>
      </c>
      <c r="D36" s="523">
        <f t="shared" si="5"/>
        <v>0</v>
      </c>
      <c r="E36" s="1632" t="str">
        <f>DGSP_ChiTiet!AB24</f>
        <v>Đăng ký cấp GCN đối với đất và tài sản</v>
      </c>
      <c r="F36" s="1632"/>
      <c r="G36" s="1632"/>
      <c r="H36" s="1632"/>
      <c r="I36" s="1632"/>
      <c r="J36" s="1632"/>
      <c r="K36" s="1632"/>
      <c r="L36" s="1632"/>
      <c r="M36" s="1632"/>
      <c r="N36" s="523">
        <f>DGSP_ChiTiet!AK24</f>
        <v>0</v>
      </c>
      <c r="O36" s="524">
        <f>DGSP_ChiTiet!AL24</f>
        <v>0</v>
      </c>
      <c r="P36" s="294"/>
      <c r="Q36" s="294">
        <f>M36-P36</f>
        <v>0</v>
      </c>
      <c r="R36" s="528"/>
      <c r="S36" s="294"/>
      <c r="T36" s="294"/>
    </row>
    <row r="37" spans="1:20" s="86" customFormat="1" ht="14.25" customHeight="1">
      <c r="A37" s="1870" t="str">
        <f t="shared" ref="A37:B46" si="6">A15</f>
        <v>A</v>
      </c>
      <c r="B37" s="1871" t="str">
        <f t="shared" si="6"/>
        <v>Tại địa bàn xã, phường, đặc khu</v>
      </c>
      <c r="C37" s="1632" t="str">
        <f t="shared" si="5"/>
        <v>Hồ sơ</v>
      </c>
      <c r="D37" s="523">
        <f t="shared" si="5"/>
        <v>1</v>
      </c>
      <c r="E37" s="294">
        <f>DGSP_ChiTiet!AB25</f>
        <v>2038499.8920000002</v>
      </c>
      <c r="F37" s="294">
        <f>DGSP_ChiTiet!AC25</f>
        <v>165550.00000000003</v>
      </c>
      <c r="G37" s="294">
        <f>DGSP_ChiTiet!AD25</f>
        <v>19024.346317550004</v>
      </c>
      <c r="H37" s="294">
        <f>DGSP_ChiTiet!AE25</f>
        <v>23374.9</v>
      </c>
      <c r="I37" s="294">
        <f>DGSP_ChiTiet!AF25</f>
        <v>13487.065019999998</v>
      </c>
      <c r="J37" s="294">
        <f>DGSP_ChiTiet!AG25</f>
        <v>17016.928505850003</v>
      </c>
      <c r="K37" s="294">
        <f>DGSP_ChiTiet!AH25</f>
        <v>2276953.1318434007</v>
      </c>
      <c r="L37" s="294">
        <f>DGSP_ChiTiet!AI25</f>
        <v>341542.96977651009</v>
      </c>
      <c r="M37" s="294">
        <f>DGSP_ChiTiet!AJ25</f>
        <v>2618496.1016199109</v>
      </c>
      <c r="N37" s="294">
        <f>DGSP_ChiTiet!AK25</f>
        <v>190199.88000000003</v>
      </c>
      <c r="O37" s="294">
        <f>DGSP_ChiTiet!AL25</f>
        <v>460882.69230769225</v>
      </c>
      <c r="P37" s="294"/>
      <c r="Q37" s="294"/>
      <c r="R37" s="528"/>
      <c r="S37" s="294"/>
      <c r="T37" s="294"/>
    </row>
    <row r="38" spans="1:20" s="86" customFormat="1" ht="14.25" customHeight="1">
      <c r="A38" s="1870">
        <f t="shared" si="6"/>
        <v>0</v>
      </c>
      <c r="B38" s="1871">
        <f t="shared" si="6"/>
        <v>0</v>
      </c>
      <c r="C38" s="1632">
        <f t="shared" si="5"/>
        <v>0</v>
      </c>
      <c r="D38" s="523" t="str">
        <f t="shared" si="5"/>
        <v>2</v>
      </c>
      <c r="E38" s="294">
        <f>DGSP_ChiTiet!AB26</f>
        <v>2105213.2335000001</v>
      </c>
      <c r="F38" s="294">
        <f>DGSP_ChiTiet!AC26</f>
        <v>182105</v>
      </c>
      <c r="G38" s="294">
        <f>DGSP_ChiTiet!AD26</f>
        <v>19024.346317550004</v>
      </c>
      <c r="H38" s="294">
        <f>DGSP_ChiTiet!AE26</f>
        <v>23374.9</v>
      </c>
      <c r="I38" s="294">
        <f>DGSP_ChiTiet!AF26</f>
        <v>13487.065019999998</v>
      </c>
      <c r="J38" s="294">
        <f>DGSP_ChiTiet!AG26</f>
        <v>17016.928505850003</v>
      </c>
      <c r="K38" s="294">
        <f>DGSP_ChiTiet!AH26</f>
        <v>2360221.4733434003</v>
      </c>
      <c r="L38" s="294">
        <f>DGSP_ChiTiet!AI26</f>
        <v>354033.22100151004</v>
      </c>
      <c r="M38" s="294">
        <f>DGSP_ChiTiet!AJ26</f>
        <v>2714254.6943449103</v>
      </c>
      <c r="N38" s="294">
        <f>DGSP_ChiTiet!AK26</f>
        <v>196181.973</v>
      </c>
      <c r="O38" s="294">
        <f>DGSP_ChiTiet!AL26</f>
        <v>460461.53846153844</v>
      </c>
      <c r="P38" s="294"/>
      <c r="Q38" s="294"/>
      <c r="R38" s="528"/>
      <c r="S38" s="294"/>
      <c r="T38" s="294"/>
    </row>
    <row r="39" spans="1:20" s="86" customFormat="1" ht="14.25" customHeight="1">
      <c r="A39" s="1870">
        <f t="shared" si="6"/>
        <v>0</v>
      </c>
      <c r="B39" s="1871">
        <f t="shared" si="6"/>
        <v>0</v>
      </c>
      <c r="C39" s="1632">
        <f t="shared" si="5"/>
        <v>0</v>
      </c>
      <c r="D39" s="523" t="str">
        <f t="shared" si="5"/>
        <v>3</v>
      </c>
      <c r="E39" s="294">
        <f>DGSP_ChiTiet!AB27</f>
        <v>2178768.9690000005</v>
      </c>
      <c r="F39" s="294">
        <f>DGSP_ChiTiet!AC27</f>
        <v>200297.30769230772</v>
      </c>
      <c r="G39" s="294">
        <f>DGSP_ChiTiet!AD27</f>
        <v>19024.346317550004</v>
      </c>
      <c r="H39" s="294">
        <f>DGSP_ChiTiet!AE27</f>
        <v>23374.9</v>
      </c>
      <c r="I39" s="294">
        <f>DGSP_ChiTiet!AF27</f>
        <v>13487.065019999998</v>
      </c>
      <c r="J39" s="294">
        <f>DGSP_ChiTiet!AG27</f>
        <v>17016.928505850003</v>
      </c>
      <c r="K39" s="294">
        <f>DGSP_ChiTiet!AH27</f>
        <v>2451969.5165357082</v>
      </c>
      <c r="L39" s="294">
        <f>DGSP_ChiTiet!AI27</f>
        <v>367795.42748035624</v>
      </c>
      <c r="M39" s="294">
        <f>DGSP_ChiTiet!AJ27</f>
        <v>2819764.9440160645</v>
      </c>
      <c r="N39" s="294">
        <f>DGSP_ChiTiet!AK27</f>
        <v>202777.614</v>
      </c>
      <c r="O39" s="294">
        <f>DGSP_ChiTiet!AL27</f>
        <v>461725</v>
      </c>
      <c r="P39" s="294"/>
      <c r="Q39" s="294"/>
      <c r="R39" s="528"/>
      <c r="S39" s="294"/>
      <c r="T39" s="294"/>
    </row>
    <row r="40" spans="1:20" s="86" customFormat="1" ht="14.25" customHeight="1">
      <c r="A40" s="1870" t="e">
        <f t="shared" si="6"/>
        <v>#REF!</v>
      </c>
      <c r="B40" s="1871" t="e">
        <f t="shared" si="6"/>
        <v>#REF!</v>
      </c>
      <c r="C40" s="1632" t="e">
        <f t="shared" si="5"/>
        <v>#REF!</v>
      </c>
      <c r="D40" s="523" t="e">
        <f t="shared" si="5"/>
        <v>#REF!</v>
      </c>
      <c r="E40" s="294" t="e">
        <f>DGSP_ChiTiet!#REF!</f>
        <v>#REF!</v>
      </c>
      <c r="F40" s="294" t="e">
        <f>DGSP_ChiTiet!#REF!</f>
        <v>#REF!</v>
      </c>
      <c r="G40" s="294" t="e">
        <f>DGSP_ChiTiet!#REF!</f>
        <v>#REF!</v>
      </c>
      <c r="H40" s="294" t="e">
        <f>DGSP_ChiTiet!#REF!</f>
        <v>#REF!</v>
      </c>
      <c r="I40" s="294" t="e">
        <f>DGSP_ChiTiet!#REF!</f>
        <v>#REF!</v>
      </c>
      <c r="J40" s="294" t="e">
        <f>DGSP_ChiTiet!#REF!</f>
        <v>#REF!</v>
      </c>
      <c r="K40" s="294" t="e">
        <f>DGSP_ChiTiet!#REF!</f>
        <v>#REF!</v>
      </c>
      <c r="L40" s="294" t="e">
        <f>DGSP_ChiTiet!#REF!</f>
        <v>#REF!</v>
      </c>
      <c r="M40" s="294" t="e">
        <f>DGSP_ChiTiet!#REF!</f>
        <v>#REF!</v>
      </c>
      <c r="N40" s="294" t="e">
        <f>DGSP_ChiTiet!#REF!</f>
        <v>#REF!</v>
      </c>
      <c r="O40" s="294" t="e">
        <f>DGSP_ChiTiet!#REF!</f>
        <v>#REF!</v>
      </c>
      <c r="P40" s="294"/>
      <c r="Q40" s="294"/>
      <c r="R40" s="528"/>
      <c r="S40" s="294"/>
      <c r="T40" s="294"/>
    </row>
    <row r="41" spans="1:20" s="86" customFormat="1" ht="14.25" customHeight="1">
      <c r="A41" s="1870" t="e">
        <f t="shared" si="6"/>
        <v>#REF!</v>
      </c>
      <c r="B41" s="1871" t="e">
        <f t="shared" si="6"/>
        <v>#REF!</v>
      </c>
      <c r="C41" s="1632" t="e">
        <f t="shared" si="5"/>
        <v>#REF!</v>
      </c>
      <c r="D41" s="523" t="e">
        <f t="shared" si="5"/>
        <v>#REF!</v>
      </c>
      <c r="E41" s="294" t="e">
        <f>DGSP_ChiTiet!#REF!</f>
        <v>#REF!</v>
      </c>
      <c r="F41" s="294" t="e">
        <f>DGSP_ChiTiet!#REF!</f>
        <v>#REF!</v>
      </c>
      <c r="G41" s="294" t="e">
        <f>DGSP_ChiTiet!#REF!</f>
        <v>#REF!</v>
      </c>
      <c r="H41" s="294" t="e">
        <f>DGSP_ChiTiet!#REF!</f>
        <v>#REF!</v>
      </c>
      <c r="I41" s="294" t="e">
        <f>DGSP_ChiTiet!#REF!</f>
        <v>#REF!</v>
      </c>
      <c r="J41" s="294" t="e">
        <f>DGSP_ChiTiet!#REF!</f>
        <v>#REF!</v>
      </c>
      <c r="K41" s="294" t="e">
        <f>DGSP_ChiTiet!#REF!</f>
        <v>#REF!</v>
      </c>
      <c r="L41" s="294" t="e">
        <f>DGSP_ChiTiet!#REF!</f>
        <v>#REF!</v>
      </c>
      <c r="M41" s="294" t="e">
        <f>DGSP_ChiTiet!#REF!</f>
        <v>#REF!</v>
      </c>
      <c r="N41" s="294" t="e">
        <f>DGSP_ChiTiet!#REF!</f>
        <v>#REF!</v>
      </c>
      <c r="O41" s="294" t="e">
        <f>DGSP_ChiTiet!#REF!</f>
        <v>#REF!</v>
      </c>
      <c r="P41" s="294"/>
      <c r="Q41" s="294"/>
      <c r="R41" s="528"/>
      <c r="S41" s="294"/>
      <c r="T41" s="294"/>
    </row>
    <row r="42" spans="1:20" s="86" customFormat="1" ht="14.25" customHeight="1">
      <c r="A42" s="1870" t="e">
        <f t="shared" si="6"/>
        <v>#REF!</v>
      </c>
      <c r="B42" s="1871" t="e">
        <f t="shared" si="6"/>
        <v>#REF!</v>
      </c>
      <c r="C42" s="1632" t="e">
        <f t="shared" si="5"/>
        <v>#REF!</v>
      </c>
      <c r="D42" s="523" t="e">
        <f t="shared" si="5"/>
        <v>#REF!</v>
      </c>
      <c r="E42" s="294" t="e">
        <f>DGSP_ChiTiet!#REF!</f>
        <v>#REF!</v>
      </c>
      <c r="F42" s="294" t="e">
        <f>DGSP_ChiTiet!#REF!</f>
        <v>#REF!</v>
      </c>
      <c r="G42" s="294" t="e">
        <f>DGSP_ChiTiet!#REF!</f>
        <v>#REF!</v>
      </c>
      <c r="H42" s="294" t="e">
        <f>DGSP_ChiTiet!#REF!</f>
        <v>#REF!</v>
      </c>
      <c r="I42" s="294" t="e">
        <f>DGSP_ChiTiet!#REF!</f>
        <v>#REF!</v>
      </c>
      <c r="J42" s="294" t="e">
        <f>DGSP_ChiTiet!#REF!</f>
        <v>#REF!</v>
      </c>
      <c r="K42" s="294" t="e">
        <f>DGSP_ChiTiet!#REF!</f>
        <v>#REF!</v>
      </c>
      <c r="L42" s="294" t="e">
        <f>DGSP_ChiTiet!#REF!</f>
        <v>#REF!</v>
      </c>
      <c r="M42" s="294" t="e">
        <f>DGSP_ChiTiet!#REF!</f>
        <v>#REF!</v>
      </c>
      <c r="N42" s="294" t="e">
        <f>DGSP_ChiTiet!#REF!</f>
        <v>#REF!</v>
      </c>
      <c r="O42" s="294" t="e">
        <f>DGSP_ChiTiet!#REF!</f>
        <v>#REF!</v>
      </c>
      <c r="P42" s="294"/>
      <c r="Q42" s="294"/>
      <c r="R42" s="528"/>
      <c r="S42" s="294"/>
      <c r="T42" s="294"/>
    </row>
    <row r="43" spans="1:20" s="86" customFormat="1" ht="14.25" customHeight="1">
      <c r="A43" s="1870" t="e">
        <f t="shared" si="6"/>
        <v>#REF!</v>
      </c>
      <c r="B43" s="1871" t="e">
        <f t="shared" si="6"/>
        <v>#REF!</v>
      </c>
      <c r="C43" s="1632" t="e">
        <f t="shared" si="5"/>
        <v>#REF!</v>
      </c>
      <c r="D43" s="523" t="e">
        <f t="shared" si="5"/>
        <v>#REF!</v>
      </c>
      <c r="E43" s="294" t="e">
        <f>DGSP_ChiTiet!#REF!</f>
        <v>#REF!</v>
      </c>
      <c r="F43" s="294" t="e">
        <f>DGSP_ChiTiet!#REF!</f>
        <v>#REF!</v>
      </c>
      <c r="G43" s="294" t="e">
        <f>DGSP_ChiTiet!#REF!</f>
        <v>#REF!</v>
      </c>
      <c r="H43" s="294" t="e">
        <f>DGSP_ChiTiet!#REF!</f>
        <v>#REF!</v>
      </c>
      <c r="I43" s="294" t="e">
        <f>DGSP_ChiTiet!#REF!</f>
        <v>#REF!</v>
      </c>
      <c r="J43" s="294" t="e">
        <f>DGSP_ChiTiet!#REF!</f>
        <v>#REF!</v>
      </c>
      <c r="K43" s="294" t="e">
        <f>DGSP_ChiTiet!#REF!</f>
        <v>#REF!</v>
      </c>
      <c r="L43" s="294" t="e">
        <f>DGSP_ChiTiet!#REF!</f>
        <v>#REF!</v>
      </c>
      <c r="M43" s="294" t="e">
        <f>DGSP_ChiTiet!#REF!</f>
        <v>#REF!</v>
      </c>
      <c r="N43" s="294" t="e">
        <f>DGSP_ChiTiet!#REF!</f>
        <v>#REF!</v>
      </c>
      <c r="O43" s="294" t="e">
        <f>DGSP_ChiTiet!#REF!</f>
        <v>#REF!</v>
      </c>
      <c r="P43" s="294"/>
      <c r="Q43" s="294"/>
      <c r="R43" s="528"/>
      <c r="S43" s="294"/>
      <c r="T43" s="294"/>
    </row>
    <row r="44" spans="1:20" s="86" customFormat="1" ht="14.25" customHeight="1">
      <c r="A44" s="1870" t="e">
        <f t="shared" si="6"/>
        <v>#REF!</v>
      </c>
      <c r="B44" s="1871" t="e">
        <f t="shared" si="6"/>
        <v>#REF!</v>
      </c>
      <c r="C44" s="1632" t="e">
        <f t="shared" si="5"/>
        <v>#REF!</v>
      </c>
      <c r="D44" s="523" t="e">
        <f t="shared" si="5"/>
        <v>#REF!</v>
      </c>
      <c r="E44" s="294" t="e">
        <f>DGSP_ChiTiet!#REF!</f>
        <v>#REF!</v>
      </c>
      <c r="F44" s="294" t="e">
        <f>DGSP_ChiTiet!#REF!</f>
        <v>#REF!</v>
      </c>
      <c r="G44" s="294" t="e">
        <f>DGSP_ChiTiet!#REF!</f>
        <v>#REF!</v>
      </c>
      <c r="H44" s="294" t="e">
        <f>DGSP_ChiTiet!#REF!</f>
        <v>#REF!</v>
      </c>
      <c r="I44" s="294" t="e">
        <f>DGSP_ChiTiet!#REF!</f>
        <v>#REF!</v>
      </c>
      <c r="J44" s="294" t="e">
        <f>DGSP_ChiTiet!#REF!</f>
        <v>#REF!</v>
      </c>
      <c r="K44" s="294" t="e">
        <f>DGSP_ChiTiet!#REF!</f>
        <v>#REF!</v>
      </c>
      <c r="L44" s="294" t="e">
        <f>DGSP_ChiTiet!#REF!</f>
        <v>#REF!</v>
      </c>
      <c r="M44" s="294" t="e">
        <f>DGSP_ChiTiet!#REF!</f>
        <v>#REF!</v>
      </c>
      <c r="N44" s="294" t="e">
        <f>DGSP_ChiTiet!#REF!</f>
        <v>#REF!</v>
      </c>
      <c r="O44" s="294" t="e">
        <f>DGSP_ChiTiet!#REF!</f>
        <v>#REF!</v>
      </c>
      <c r="P44" s="294"/>
      <c r="Q44" s="294"/>
      <c r="R44" s="528"/>
      <c r="S44" s="294"/>
      <c r="T44" s="294"/>
    </row>
    <row r="45" spans="1:20" s="86" customFormat="1" ht="14.25" customHeight="1">
      <c r="A45" s="1870" t="e">
        <f t="shared" si="6"/>
        <v>#REF!</v>
      </c>
      <c r="B45" s="1871" t="e">
        <f t="shared" si="6"/>
        <v>#REF!</v>
      </c>
      <c r="C45" s="1632" t="e">
        <f t="shared" si="5"/>
        <v>#REF!</v>
      </c>
      <c r="D45" s="523" t="e">
        <f t="shared" si="5"/>
        <v>#REF!</v>
      </c>
      <c r="E45" s="294" t="e">
        <f>DGSP_ChiTiet!#REF!</f>
        <v>#REF!</v>
      </c>
      <c r="F45" s="294" t="e">
        <f>DGSP_ChiTiet!#REF!</f>
        <v>#REF!</v>
      </c>
      <c r="G45" s="294" t="e">
        <f>DGSP_ChiTiet!#REF!</f>
        <v>#REF!</v>
      </c>
      <c r="H45" s="294" t="e">
        <f>DGSP_ChiTiet!#REF!</f>
        <v>#REF!</v>
      </c>
      <c r="I45" s="294" t="e">
        <f>DGSP_ChiTiet!#REF!</f>
        <v>#REF!</v>
      </c>
      <c r="J45" s="294" t="e">
        <f>DGSP_ChiTiet!#REF!</f>
        <v>#REF!</v>
      </c>
      <c r="K45" s="294" t="e">
        <f>DGSP_ChiTiet!#REF!</f>
        <v>#REF!</v>
      </c>
      <c r="L45" s="294" t="e">
        <f>DGSP_ChiTiet!#REF!</f>
        <v>#REF!</v>
      </c>
      <c r="M45" s="294" t="e">
        <f>DGSP_ChiTiet!#REF!</f>
        <v>#REF!</v>
      </c>
      <c r="N45" s="294" t="e">
        <f>DGSP_ChiTiet!#REF!</f>
        <v>#REF!</v>
      </c>
      <c r="O45" s="294" t="e">
        <f>DGSP_ChiTiet!#REF!</f>
        <v>#REF!</v>
      </c>
      <c r="P45" s="294"/>
      <c r="Q45" s="294"/>
      <c r="R45" s="528"/>
      <c r="S45" s="294"/>
      <c r="T45" s="294"/>
    </row>
    <row r="46" spans="1:20" s="86" customFormat="1" ht="14.25" customHeight="1">
      <c r="A46" s="1870" t="e">
        <f t="shared" si="6"/>
        <v>#REF!</v>
      </c>
      <c r="B46" s="1871" t="e">
        <f t="shared" si="6"/>
        <v>#REF!</v>
      </c>
      <c r="C46" s="1632" t="e">
        <f t="shared" si="5"/>
        <v>#REF!</v>
      </c>
      <c r="D46" s="523" t="e">
        <f t="shared" si="5"/>
        <v>#REF!</v>
      </c>
      <c r="E46" s="294" t="e">
        <f>DGSP_ChiTiet!#REF!</f>
        <v>#REF!</v>
      </c>
      <c r="F46" s="294" t="e">
        <f>DGSP_ChiTiet!#REF!</f>
        <v>#REF!</v>
      </c>
      <c r="G46" s="294" t="e">
        <f>DGSP_ChiTiet!#REF!</f>
        <v>#REF!</v>
      </c>
      <c r="H46" s="294" t="e">
        <f>DGSP_ChiTiet!#REF!</f>
        <v>#REF!</v>
      </c>
      <c r="I46" s="294" t="e">
        <f>DGSP_ChiTiet!#REF!</f>
        <v>#REF!</v>
      </c>
      <c r="J46" s="294" t="e">
        <f>DGSP_ChiTiet!#REF!</f>
        <v>#REF!</v>
      </c>
      <c r="K46" s="294" t="e">
        <f>DGSP_ChiTiet!#REF!</f>
        <v>#REF!</v>
      </c>
      <c r="L46" s="294" t="e">
        <f>DGSP_ChiTiet!#REF!</f>
        <v>#REF!</v>
      </c>
      <c r="M46" s="294" t="e">
        <f>DGSP_ChiTiet!#REF!</f>
        <v>#REF!</v>
      </c>
      <c r="N46" s="294" t="e">
        <f>DGSP_ChiTiet!#REF!</f>
        <v>#REF!</v>
      </c>
      <c r="O46" s="294" t="e">
        <f>DGSP_ChiTiet!#REF!</f>
        <v>#REF!</v>
      </c>
      <c r="P46" s="294"/>
      <c r="Q46" s="294"/>
      <c r="R46" s="528"/>
      <c r="S46" s="294"/>
      <c r="T46" s="294"/>
    </row>
    <row r="47" spans="1:20" s="86" customFormat="1" ht="14.25" customHeight="1">
      <c r="A47" s="1632" t="str">
        <f>DGSP_ChiTiet!B37</f>
        <v>III</v>
      </c>
      <c r="B47" s="1873" t="str">
        <f>DGSP_ChiTiet!C37</f>
        <v>Định mức lao động đăng ký, cấp Giấy chứng nhận lần đầu đối với tổ chức (trừ trường hợp thuộc thẩm quyền quyết định của UBND xã, phường), tổ chức tôn giáo, tổ chức tôn giáo trực thuộc đang sử dụng đất</v>
      </c>
      <c r="C47" s="1632" t="str">
        <f>DGSP_ChiTiet!D38</f>
        <v>Hồ sơ</v>
      </c>
      <c r="D47" s="523">
        <f>DGSP_ChiTiet!E37</f>
        <v>0</v>
      </c>
      <c r="E47" s="1632" t="str">
        <f>DGSP_ChiTiet!F37</f>
        <v>Đăng ký cấp GCN đối với đất</v>
      </c>
      <c r="F47" s="1632">
        <f>DGSP_ChiTiet!G37</f>
        <v>0</v>
      </c>
      <c r="G47" s="1632">
        <f>DGSP_ChiTiet!H37</f>
        <v>0</v>
      </c>
      <c r="H47" s="1632">
        <f>DGSP_ChiTiet!I37</f>
        <v>0</v>
      </c>
      <c r="I47" s="1632">
        <f>DGSP_ChiTiet!J37</f>
        <v>0</v>
      </c>
      <c r="J47" s="1632">
        <f>DGSP_ChiTiet!K37</f>
        <v>0</v>
      </c>
      <c r="K47" s="1632">
        <f>DGSP_ChiTiet!L37</f>
        <v>0</v>
      </c>
      <c r="L47" s="1632">
        <f>DGSP_ChiTiet!M37</f>
        <v>0</v>
      </c>
      <c r="M47" s="1632">
        <f>DGSP_ChiTiet!N37</f>
        <v>0</v>
      </c>
      <c r="N47" s="294"/>
      <c r="O47" s="294"/>
      <c r="P47" s="294"/>
      <c r="Q47" s="294">
        <f t="shared" ref="Q47:Q53" si="7">M47-P47</f>
        <v>0</v>
      </c>
      <c r="R47" s="528"/>
      <c r="S47" s="294"/>
      <c r="T47" s="294"/>
    </row>
    <row r="48" spans="1:20" s="86" customFormat="1" ht="14.25" customHeight="1">
      <c r="A48" s="1632"/>
      <c r="B48" s="1873"/>
      <c r="C48" s="1632"/>
      <c r="D48" s="523">
        <f>DGSP_ChiTiet!E38</f>
        <v>1</v>
      </c>
      <c r="E48" s="294">
        <f>DGSP_ChiTiet!F38</f>
        <v>2291325.0165000004</v>
      </c>
      <c r="F48" s="294">
        <f>DGSP_ChiTiet!G38</f>
        <v>0</v>
      </c>
      <c r="G48" s="294">
        <f>DGSP_ChiTiet!H38</f>
        <v>15128.12688647436</v>
      </c>
      <c r="H48" s="294">
        <f>DGSP_ChiTiet!I38</f>
        <v>21051</v>
      </c>
      <c r="I48" s="294">
        <f>DGSP_ChiTiet!J38</f>
        <v>23841.524799999999</v>
      </c>
      <c r="J48" s="294">
        <f>DGSP_ChiTiet!K38</f>
        <v>38427.881992500006</v>
      </c>
      <c r="K48" s="294">
        <f>DGSP_ChiTiet!L38</f>
        <v>2389773.5501789744</v>
      </c>
      <c r="L48" s="294">
        <f>DGSP_ChiTiet!M38</f>
        <v>358466.03252684616</v>
      </c>
      <c r="M48" s="294">
        <f>DGSP_ChiTiet!N38</f>
        <v>2748239.5827058204</v>
      </c>
      <c r="N48" s="294">
        <f>DGSP_ChiTiet!O38</f>
        <v>189586.33199999999</v>
      </c>
      <c r="O48" s="294">
        <f>DGSP_ChiTiet!P38</f>
        <v>0</v>
      </c>
      <c r="P48" s="294">
        <v>677411</v>
      </c>
      <c r="Q48" s="294">
        <f t="shared" si="7"/>
        <v>2070828.5827058204</v>
      </c>
      <c r="R48" s="528">
        <f>Q48/P48*100</f>
        <v>305.6975134306677</v>
      </c>
      <c r="S48" s="294"/>
      <c r="T48" s="294"/>
    </row>
    <row r="49" spans="1:20" s="86" customFormat="1" ht="14.25" customHeight="1">
      <c r="A49" s="1632"/>
      <c r="B49" s="1873"/>
      <c r="C49" s="1632"/>
      <c r="D49" s="523" t="str">
        <f>DGSP_ChiTiet!E39</f>
        <v>2</v>
      </c>
      <c r="E49" s="294">
        <f>DGSP_ChiTiet!F39</f>
        <v>2348344.9665000001</v>
      </c>
      <c r="F49" s="294">
        <f>DGSP_ChiTiet!G39</f>
        <v>0</v>
      </c>
      <c r="G49" s="294">
        <f>DGSP_ChiTiet!H39</f>
        <v>15128.12688647436</v>
      </c>
      <c r="H49" s="294">
        <f>DGSP_ChiTiet!I39</f>
        <v>21051</v>
      </c>
      <c r="I49" s="294">
        <f>DGSP_ChiTiet!J39</f>
        <v>23841.524799999999</v>
      </c>
      <c r="J49" s="294">
        <f>DGSP_ChiTiet!K39</f>
        <v>38427.881992500006</v>
      </c>
      <c r="K49" s="294">
        <f>DGSP_ChiTiet!L39</f>
        <v>2446793.5001789741</v>
      </c>
      <c r="L49" s="294">
        <f>DGSP_ChiTiet!M39</f>
        <v>367019.02502684609</v>
      </c>
      <c r="M49" s="294">
        <f>DGSP_ChiTiet!N39</f>
        <v>2813812.5252058203</v>
      </c>
      <c r="N49" s="294">
        <f>DGSP_ChiTiet!O39</f>
        <v>114247.75049999998</v>
      </c>
      <c r="O49" s="294">
        <f>DGSP_ChiTiet!P39</f>
        <v>0</v>
      </c>
      <c r="P49" s="294">
        <v>764935</v>
      </c>
      <c r="Q49" s="294">
        <f t="shared" si="7"/>
        <v>2048877.5252058203</v>
      </c>
      <c r="R49" s="528">
        <f>Q49/P49*100</f>
        <v>267.84988596492781</v>
      </c>
      <c r="S49" s="294"/>
      <c r="T49" s="294"/>
    </row>
    <row r="50" spans="1:20" s="86" customFormat="1" ht="14.25" customHeight="1">
      <c r="A50" s="1632"/>
      <c r="B50" s="1873"/>
      <c r="C50" s="1632"/>
      <c r="D50" s="523" t="str">
        <f>DGSP_ChiTiet!E40</f>
        <v>3</v>
      </c>
      <c r="E50" s="294">
        <f>DGSP_ChiTiet!F40</f>
        <v>2411066.9115000004</v>
      </c>
      <c r="F50" s="294">
        <f>DGSP_ChiTiet!G40</f>
        <v>0</v>
      </c>
      <c r="G50" s="294">
        <f>DGSP_ChiTiet!H40</f>
        <v>15128.12688647436</v>
      </c>
      <c r="H50" s="294">
        <f>DGSP_ChiTiet!I40</f>
        <v>21051</v>
      </c>
      <c r="I50" s="294">
        <f>DGSP_ChiTiet!J40</f>
        <v>23841.524799999999</v>
      </c>
      <c r="J50" s="294">
        <f>DGSP_ChiTiet!K40</f>
        <v>38427.881992500006</v>
      </c>
      <c r="K50" s="294">
        <f>DGSP_ChiTiet!L40</f>
        <v>2509515.4451789744</v>
      </c>
      <c r="L50" s="294">
        <f>DGSP_ChiTiet!M40</f>
        <v>376427.31677684613</v>
      </c>
      <c r="M50" s="294">
        <f>DGSP_ChiTiet!N40</f>
        <v>2885942.7619558205</v>
      </c>
      <c r="N50" s="294">
        <f>DGSP_ChiTiet!O40</f>
        <v>114247.75049999998</v>
      </c>
      <c r="O50" s="294">
        <f>DGSP_ChiTiet!P40</f>
        <v>0</v>
      </c>
      <c r="P50" s="294">
        <v>825339</v>
      </c>
      <c r="Q50" s="294">
        <f t="shared" si="7"/>
        <v>2060603.7619558205</v>
      </c>
      <c r="R50" s="528">
        <f>Q50/P50*100</f>
        <v>249.66756229329044</v>
      </c>
      <c r="S50" s="294"/>
      <c r="T50" s="294"/>
    </row>
    <row r="51" spans="1:20" s="86" customFormat="1" ht="14.25" customHeight="1">
      <c r="A51" s="1632"/>
      <c r="B51" s="1873"/>
      <c r="C51" s="1632"/>
      <c r="D51" s="523" t="e">
        <f>DGSP_ChiTiet!#REF!</f>
        <v>#REF!</v>
      </c>
      <c r="E51" s="294" t="e">
        <f>DGSP_ChiTiet!#REF!</f>
        <v>#REF!</v>
      </c>
      <c r="F51" s="294" t="e">
        <f>DGSP_ChiTiet!#REF!</f>
        <v>#REF!</v>
      </c>
      <c r="G51" s="294" t="e">
        <f>DGSP_ChiTiet!#REF!</f>
        <v>#REF!</v>
      </c>
      <c r="H51" s="294" t="e">
        <f>DGSP_ChiTiet!#REF!</f>
        <v>#REF!</v>
      </c>
      <c r="I51" s="294" t="e">
        <f>DGSP_ChiTiet!#REF!</f>
        <v>#REF!</v>
      </c>
      <c r="J51" s="294" t="e">
        <f>DGSP_ChiTiet!#REF!</f>
        <v>#REF!</v>
      </c>
      <c r="K51" s="294" t="e">
        <f>DGSP_ChiTiet!#REF!</f>
        <v>#REF!</v>
      </c>
      <c r="L51" s="294" t="e">
        <f>DGSP_ChiTiet!#REF!</f>
        <v>#REF!</v>
      </c>
      <c r="M51" s="294" t="e">
        <f>DGSP_ChiTiet!#REF!</f>
        <v>#REF!</v>
      </c>
      <c r="N51" s="294" t="e">
        <f>DGSP_ChiTiet!#REF!</f>
        <v>#REF!</v>
      </c>
      <c r="O51" s="294" t="e">
        <f>DGSP_ChiTiet!#REF!</f>
        <v>#REF!</v>
      </c>
      <c r="P51" s="294">
        <v>936870</v>
      </c>
      <c r="Q51" s="294" t="e">
        <f t="shared" si="7"/>
        <v>#REF!</v>
      </c>
      <c r="R51" s="528" t="e">
        <f>Q51/P51*100</f>
        <v>#REF!</v>
      </c>
      <c r="S51" s="294"/>
      <c r="T51" s="294"/>
    </row>
    <row r="52" spans="1:20" s="86" customFormat="1" ht="14.25" customHeight="1">
      <c r="A52" s="1632"/>
      <c r="B52" s="1873"/>
      <c r="C52" s="1632"/>
      <c r="D52" s="523" t="e">
        <f>DGSP_ChiTiet!#REF!</f>
        <v>#REF!</v>
      </c>
      <c r="E52" s="294" t="e">
        <f>DGSP_ChiTiet!#REF!</f>
        <v>#REF!</v>
      </c>
      <c r="F52" s="294" t="e">
        <f>DGSP_ChiTiet!#REF!</f>
        <v>#REF!</v>
      </c>
      <c r="G52" s="294" t="e">
        <f>DGSP_ChiTiet!#REF!</f>
        <v>#REF!</v>
      </c>
      <c r="H52" s="294" t="e">
        <f>DGSP_ChiTiet!#REF!</f>
        <v>#REF!</v>
      </c>
      <c r="I52" s="294" t="e">
        <f>DGSP_ChiTiet!#REF!</f>
        <v>#REF!</v>
      </c>
      <c r="J52" s="294" t="e">
        <f>DGSP_ChiTiet!#REF!</f>
        <v>#REF!</v>
      </c>
      <c r="K52" s="294" t="e">
        <f>DGSP_ChiTiet!#REF!</f>
        <v>#REF!</v>
      </c>
      <c r="L52" s="294" t="e">
        <f>DGSP_ChiTiet!#REF!</f>
        <v>#REF!</v>
      </c>
      <c r="M52" s="294" t="e">
        <f>DGSP_ChiTiet!#REF!</f>
        <v>#REF!</v>
      </c>
      <c r="N52" s="294" t="e">
        <f>DGSP_ChiTiet!#REF!</f>
        <v>#REF!</v>
      </c>
      <c r="O52" s="294" t="e">
        <f>DGSP_ChiTiet!#REF!</f>
        <v>#REF!</v>
      </c>
      <c r="P52" s="294">
        <v>1067079</v>
      </c>
      <c r="Q52" s="294" t="e">
        <f t="shared" si="7"/>
        <v>#REF!</v>
      </c>
      <c r="R52" s="528" t="e">
        <f>Q52/P52*100</f>
        <v>#REF!</v>
      </c>
      <c r="S52" s="294"/>
      <c r="T52" s="294"/>
    </row>
    <row r="53" spans="1:20" s="86" customFormat="1" ht="14.25" customHeight="1">
      <c r="A53" s="1632"/>
      <c r="B53" s="1873"/>
      <c r="C53" s="1632"/>
      <c r="D53" s="523"/>
      <c r="E53" s="1632" t="str">
        <f>DGSP_ChiTiet!Q37</f>
        <v>Đăng ký cấp GCN đối với tài sản</v>
      </c>
      <c r="F53" s="1632">
        <f>DGSP_ChiTiet!R37</f>
        <v>0</v>
      </c>
      <c r="G53" s="1632">
        <f>DGSP_ChiTiet!S37</f>
        <v>0</v>
      </c>
      <c r="H53" s="1632">
        <f>DGSP_ChiTiet!T37</f>
        <v>0</v>
      </c>
      <c r="I53" s="1632">
        <f>DGSP_ChiTiet!U37</f>
        <v>0</v>
      </c>
      <c r="J53" s="1632">
        <f>DGSP_ChiTiet!V37</f>
        <v>0</v>
      </c>
      <c r="K53" s="1632">
        <f>DGSP_ChiTiet!W37</f>
        <v>0</v>
      </c>
      <c r="L53" s="1632">
        <f>DGSP_ChiTiet!X37</f>
        <v>0</v>
      </c>
      <c r="M53" s="1632">
        <f>DGSP_ChiTiet!Y37</f>
        <v>0</v>
      </c>
      <c r="N53" s="294"/>
      <c r="O53" s="294"/>
      <c r="P53" s="294"/>
      <c r="Q53" s="294">
        <f t="shared" si="7"/>
        <v>0</v>
      </c>
      <c r="R53" s="294"/>
      <c r="S53" s="294"/>
      <c r="T53" s="294"/>
    </row>
    <row r="54" spans="1:20" s="86" customFormat="1" ht="14.25" customHeight="1">
      <c r="A54" s="1632"/>
      <c r="B54" s="1873"/>
      <c r="C54" s="1632"/>
      <c r="D54" s="523">
        <f>D48</f>
        <v>1</v>
      </c>
      <c r="E54" s="294">
        <f>DGSP_ChiTiet!Q38</f>
        <v>2199959.7165000001</v>
      </c>
      <c r="F54" s="294">
        <f>DGSP_ChiTiet!R38</f>
        <v>0</v>
      </c>
      <c r="G54" s="294">
        <f>DGSP_ChiTiet!S38</f>
        <v>15128.12688647436</v>
      </c>
      <c r="H54" s="294">
        <f>DGSP_ChiTiet!T38</f>
        <v>21051</v>
      </c>
      <c r="I54" s="294">
        <f>DGSP_ChiTiet!U38</f>
        <v>23841.524799999999</v>
      </c>
      <c r="J54" s="294">
        <f>DGSP_ChiTiet!V38</f>
        <v>38427.881992500006</v>
      </c>
      <c r="K54" s="294">
        <f>DGSP_ChiTiet!W38</f>
        <v>2298408.2501789741</v>
      </c>
      <c r="L54" s="294">
        <f>DGSP_ChiTiet!X38</f>
        <v>344761.23752684612</v>
      </c>
      <c r="M54" s="294">
        <f>DGSP_ChiTiet!Y38</f>
        <v>2643169.4877058202</v>
      </c>
      <c r="N54" s="294">
        <f>DGSP_ChiTiet!Z38</f>
        <v>182581.65899999999</v>
      </c>
      <c r="O54" s="294">
        <f>DGSP_ChiTiet!AA38</f>
        <v>0</v>
      </c>
      <c r="P54" s="294"/>
      <c r="Q54" s="294"/>
      <c r="R54" s="294"/>
      <c r="S54" s="294"/>
      <c r="T54" s="294"/>
    </row>
    <row r="55" spans="1:20" s="86" customFormat="1" ht="14.25" customHeight="1">
      <c r="A55" s="1632"/>
      <c r="B55" s="1873"/>
      <c r="C55" s="1632"/>
      <c r="D55" s="523" t="str">
        <f>D49</f>
        <v>2</v>
      </c>
      <c r="E55" s="294">
        <f>DGSP_ChiTiet!Q39</f>
        <v>2256979.6665000003</v>
      </c>
      <c r="F55" s="294">
        <f>DGSP_ChiTiet!R39</f>
        <v>0</v>
      </c>
      <c r="G55" s="294">
        <f>DGSP_ChiTiet!S39</f>
        <v>15128.12688647436</v>
      </c>
      <c r="H55" s="294">
        <f>DGSP_ChiTiet!T39</f>
        <v>21051</v>
      </c>
      <c r="I55" s="294">
        <f>DGSP_ChiTiet!U39</f>
        <v>23841.524799999999</v>
      </c>
      <c r="J55" s="294">
        <f>DGSP_ChiTiet!V39</f>
        <v>38427.881992500006</v>
      </c>
      <c r="K55" s="294">
        <f>DGSP_ChiTiet!W39</f>
        <v>2355428.2001789743</v>
      </c>
      <c r="L55" s="294">
        <f>DGSP_ChiTiet!X39</f>
        <v>353314.23002684611</v>
      </c>
      <c r="M55" s="294">
        <f>DGSP_ChiTiet!Y39</f>
        <v>2708742.4302058206</v>
      </c>
      <c r="N55" s="294">
        <f>DGSP_ChiTiet!Z39</f>
        <v>109134.85049999999</v>
      </c>
      <c r="O55" s="294">
        <f>DGSP_ChiTiet!AA39</f>
        <v>0</v>
      </c>
      <c r="P55" s="294"/>
      <c r="Q55" s="294"/>
      <c r="R55" s="294"/>
      <c r="S55" s="294"/>
      <c r="T55" s="294"/>
    </row>
    <row r="56" spans="1:20" s="86" customFormat="1" ht="14.25" customHeight="1">
      <c r="A56" s="1632"/>
      <c r="B56" s="1873"/>
      <c r="C56" s="1632"/>
      <c r="D56" s="523" t="str">
        <f>D50</f>
        <v>3</v>
      </c>
      <c r="E56" s="294">
        <f>DGSP_ChiTiet!Q40</f>
        <v>2319701.6115000001</v>
      </c>
      <c r="F56" s="294">
        <f>DGSP_ChiTiet!R40</f>
        <v>0</v>
      </c>
      <c r="G56" s="294">
        <f>DGSP_ChiTiet!S40</f>
        <v>15128.12688647436</v>
      </c>
      <c r="H56" s="294">
        <f>DGSP_ChiTiet!T40</f>
        <v>21051</v>
      </c>
      <c r="I56" s="294">
        <f>DGSP_ChiTiet!U40</f>
        <v>23841.524799999999</v>
      </c>
      <c r="J56" s="294">
        <f>DGSP_ChiTiet!V40</f>
        <v>38427.881992500006</v>
      </c>
      <c r="K56" s="294">
        <f>DGSP_ChiTiet!W40</f>
        <v>2418150.1451789741</v>
      </c>
      <c r="L56" s="294">
        <f>DGSP_ChiTiet!X40</f>
        <v>362722.52177684609</v>
      </c>
      <c r="M56" s="294">
        <f>DGSP_ChiTiet!Y40</f>
        <v>2780872.6669558203</v>
      </c>
      <c r="N56" s="294">
        <f>DGSP_ChiTiet!Z40</f>
        <v>109134.85049999999</v>
      </c>
      <c r="O56" s="294">
        <f>DGSP_ChiTiet!AA40</f>
        <v>0</v>
      </c>
      <c r="P56" s="294"/>
      <c r="Q56" s="294"/>
      <c r="R56" s="294"/>
      <c r="S56" s="294"/>
      <c r="T56" s="294"/>
    </row>
    <row r="57" spans="1:20" s="86" customFormat="1" ht="14.25" customHeight="1">
      <c r="A57" s="1632"/>
      <c r="B57" s="1873"/>
      <c r="C57" s="1632"/>
      <c r="D57" s="523" t="e">
        <f>D51</f>
        <v>#REF!</v>
      </c>
      <c r="E57" s="294" t="e">
        <f>DGSP_ChiTiet!#REF!</f>
        <v>#REF!</v>
      </c>
      <c r="F57" s="294" t="e">
        <f>DGSP_ChiTiet!#REF!</f>
        <v>#REF!</v>
      </c>
      <c r="G57" s="294" t="e">
        <f>DGSP_ChiTiet!#REF!</f>
        <v>#REF!</v>
      </c>
      <c r="H57" s="294" t="e">
        <f>DGSP_ChiTiet!#REF!</f>
        <v>#REF!</v>
      </c>
      <c r="I57" s="294" t="e">
        <f>DGSP_ChiTiet!#REF!</f>
        <v>#REF!</v>
      </c>
      <c r="J57" s="294" t="e">
        <f>DGSP_ChiTiet!#REF!</f>
        <v>#REF!</v>
      </c>
      <c r="K57" s="294" t="e">
        <f>DGSP_ChiTiet!#REF!</f>
        <v>#REF!</v>
      </c>
      <c r="L57" s="294" t="e">
        <f>DGSP_ChiTiet!#REF!</f>
        <v>#REF!</v>
      </c>
      <c r="M57" s="294" t="e">
        <f>DGSP_ChiTiet!#REF!</f>
        <v>#REF!</v>
      </c>
      <c r="N57" s="294" t="e">
        <f>DGSP_ChiTiet!#REF!</f>
        <v>#REF!</v>
      </c>
      <c r="O57" s="294" t="e">
        <f>DGSP_ChiTiet!#REF!</f>
        <v>#REF!</v>
      </c>
      <c r="P57" s="294"/>
      <c r="Q57" s="294"/>
      <c r="R57" s="294"/>
      <c r="S57" s="294"/>
      <c r="T57" s="294"/>
    </row>
    <row r="58" spans="1:20" s="86" customFormat="1" ht="14.25" customHeight="1">
      <c r="A58" s="1632"/>
      <c r="B58" s="1873"/>
      <c r="C58" s="1632"/>
      <c r="D58" s="523" t="e">
        <f>D52</f>
        <v>#REF!</v>
      </c>
      <c r="E58" s="294" t="e">
        <f>DGSP_ChiTiet!#REF!</f>
        <v>#REF!</v>
      </c>
      <c r="F58" s="294" t="e">
        <f>DGSP_ChiTiet!#REF!</f>
        <v>#REF!</v>
      </c>
      <c r="G58" s="294" t="e">
        <f>DGSP_ChiTiet!#REF!</f>
        <v>#REF!</v>
      </c>
      <c r="H58" s="294" t="e">
        <f>DGSP_ChiTiet!#REF!</f>
        <v>#REF!</v>
      </c>
      <c r="I58" s="294" t="e">
        <f>DGSP_ChiTiet!#REF!</f>
        <v>#REF!</v>
      </c>
      <c r="J58" s="294" t="e">
        <f>DGSP_ChiTiet!#REF!</f>
        <v>#REF!</v>
      </c>
      <c r="K58" s="294" t="e">
        <f>DGSP_ChiTiet!#REF!</f>
        <v>#REF!</v>
      </c>
      <c r="L58" s="294" t="e">
        <f>DGSP_ChiTiet!#REF!</f>
        <v>#REF!</v>
      </c>
      <c r="M58" s="294" t="e">
        <f>DGSP_ChiTiet!#REF!</f>
        <v>#REF!</v>
      </c>
      <c r="N58" s="294" t="e">
        <f>DGSP_ChiTiet!#REF!</f>
        <v>#REF!</v>
      </c>
      <c r="O58" s="294" t="e">
        <f>DGSP_ChiTiet!#REF!</f>
        <v>#REF!</v>
      </c>
      <c r="P58" s="294"/>
      <c r="Q58" s="294"/>
      <c r="R58" s="294"/>
      <c r="S58" s="294"/>
      <c r="T58" s="294"/>
    </row>
    <row r="59" spans="1:20" s="86" customFormat="1" ht="28.5" customHeight="1">
      <c r="A59" s="1632"/>
      <c r="B59" s="1873"/>
      <c r="C59" s="1632"/>
      <c r="D59" s="523"/>
      <c r="E59" s="1632" t="str">
        <f>DGSP_ChiTiet!AB37</f>
        <v>Đăng ký cấp GCN đối với đất và tài sản</v>
      </c>
      <c r="F59" s="1632">
        <f>DGSP_ChiTiet!AC37</f>
        <v>0</v>
      </c>
      <c r="G59" s="1632">
        <f>DGSP_ChiTiet!AD37</f>
        <v>0</v>
      </c>
      <c r="H59" s="1632">
        <f>DGSP_ChiTiet!AE37</f>
        <v>0</v>
      </c>
      <c r="I59" s="1632">
        <f>DGSP_ChiTiet!AF37</f>
        <v>0</v>
      </c>
      <c r="J59" s="1632">
        <f>DGSP_ChiTiet!AG37</f>
        <v>0</v>
      </c>
      <c r="K59" s="1632">
        <f>DGSP_ChiTiet!AH37</f>
        <v>0</v>
      </c>
      <c r="L59" s="1632">
        <f>DGSP_ChiTiet!AI37</f>
        <v>0</v>
      </c>
      <c r="M59" s="1632">
        <f>DGSP_ChiTiet!AJ37</f>
        <v>0</v>
      </c>
      <c r="N59" s="294"/>
      <c r="O59" s="294"/>
      <c r="P59" s="294"/>
      <c r="Q59" s="294"/>
      <c r="R59" s="294"/>
      <c r="S59" s="294"/>
      <c r="T59" s="294"/>
    </row>
    <row r="60" spans="1:20" s="86" customFormat="1" ht="14.25" customHeight="1">
      <c r="A60" s="1632"/>
      <c r="B60" s="1873"/>
      <c r="C60" s="1632"/>
      <c r="D60" s="523">
        <f>D48</f>
        <v>1</v>
      </c>
      <c r="E60" s="294">
        <f>DGSP_ChiTiet!AB38</f>
        <v>2938671.5085000005</v>
      </c>
      <c r="F60" s="294">
        <f>DGSP_ChiTiet!AC38</f>
        <v>0</v>
      </c>
      <c r="G60" s="294">
        <f>DGSP_ChiTiet!AD38</f>
        <v>19666.564952416669</v>
      </c>
      <c r="H60" s="294">
        <f>DGSP_ChiTiet!AE38</f>
        <v>21051</v>
      </c>
      <c r="I60" s="294">
        <f>DGSP_ChiTiet!AF38</f>
        <v>23841.524799999999</v>
      </c>
      <c r="J60" s="294">
        <f>DGSP_ChiTiet!AG38</f>
        <v>38427.881992500006</v>
      </c>
      <c r="K60" s="294">
        <f>DGSP_ChiTiet!AH38</f>
        <v>3041658.4802449169</v>
      </c>
      <c r="L60" s="294">
        <f>DGSP_ChiTiet!AI38</f>
        <v>456248.77203673753</v>
      </c>
      <c r="M60" s="294">
        <f>DGSP_ChiTiet!AJ38</f>
        <v>3497907.2522816546</v>
      </c>
      <c r="N60" s="294">
        <f>DGSP_ChiTiet!AK38</f>
        <v>243195.08849999995</v>
      </c>
      <c r="O60" s="294">
        <f>DGSP_ChiTiet!AL38</f>
        <v>0</v>
      </c>
      <c r="P60" s="294"/>
      <c r="Q60" s="294"/>
      <c r="R60" s="294"/>
      <c r="S60" s="294"/>
      <c r="T60" s="294"/>
    </row>
    <row r="61" spans="1:20" s="86" customFormat="1" ht="14.25" customHeight="1">
      <c r="A61" s="1632"/>
      <c r="B61" s="1873"/>
      <c r="C61" s="1632"/>
      <c r="D61" s="523" t="str">
        <f>D49</f>
        <v>2</v>
      </c>
      <c r="E61" s="294">
        <f>DGSP_ChiTiet!AB39</f>
        <v>3012797.4435000001</v>
      </c>
      <c r="F61" s="294">
        <f>DGSP_ChiTiet!AC39</f>
        <v>0</v>
      </c>
      <c r="G61" s="294">
        <f>DGSP_ChiTiet!AD39</f>
        <v>19666.564952416669</v>
      </c>
      <c r="H61" s="294">
        <f>DGSP_ChiTiet!AE39</f>
        <v>21051</v>
      </c>
      <c r="I61" s="294">
        <f>DGSP_ChiTiet!AF39</f>
        <v>23841.524799999999</v>
      </c>
      <c r="J61" s="294">
        <f>DGSP_ChiTiet!AG39</f>
        <v>38427.881992500006</v>
      </c>
      <c r="K61" s="294">
        <f>DGSP_ChiTiet!AH39</f>
        <v>3115784.4152449165</v>
      </c>
      <c r="L61" s="294">
        <f>DGSP_ChiTiet!AI39</f>
        <v>467367.66228673747</v>
      </c>
      <c r="M61" s="294">
        <f>DGSP_ChiTiet!AJ39</f>
        <v>3583152.0775316539</v>
      </c>
      <c r="N61" s="294">
        <f>DGSP_ChiTiet!AK39</f>
        <v>145308.61799999996</v>
      </c>
      <c r="O61" s="294">
        <f>DGSP_ChiTiet!AL39</f>
        <v>0</v>
      </c>
      <c r="P61" s="294"/>
      <c r="Q61" s="294"/>
      <c r="R61" s="294"/>
      <c r="S61" s="294"/>
      <c r="T61" s="294"/>
    </row>
    <row r="62" spans="1:20" s="86" customFormat="1" ht="14.25" customHeight="1">
      <c r="A62" s="1632"/>
      <c r="B62" s="1873"/>
      <c r="C62" s="1632"/>
      <c r="D62" s="523" t="str">
        <f>D50</f>
        <v>3</v>
      </c>
      <c r="E62" s="294">
        <f>DGSP_ChiTiet!AB40</f>
        <v>3094335.9720000001</v>
      </c>
      <c r="F62" s="294">
        <f>DGSP_ChiTiet!AC40</f>
        <v>0</v>
      </c>
      <c r="G62" s="294">
        <f>DGSP_ChiTiet!AD40</f>
        <v>19666.564952416669</v>
      </c>
      <c r="H62" s="294">
        <f>DGSP_ChiTiet!AE40</f>
        <v>21051</v>
      </c>
      <c r="I62" s="294">
        <f>DGSP_ChiTiet!AF40</f>
        <v>23841.524799999999</v>
      </c>
      <c r="J62" s="294">
        <f>DGSP_ChiTiet!AG40</f>
        <v>38427.881992500006</v>
      </c>
      <c r="K62" s="294">
        <f>DGSP_ChiTiet!AH40</f>
        <v>3197322.9437449165</v>
      </c>
      <c r="L62" s="294">
        <f>DGSP_ChiTiet!AI40</f>
        <v>479598.44156173745</v>
      </c>
      <c r="M62" s="294">
        <f>DGSP_ChiTiet!AJ40</f>
        <v>3676921.385306654</v>
      </c>
      <c r="N62" s="294">
        <f>DGSP_ChiTiet!AK40</f>
        <v>145308.61799999996</v>
      </c>
      <c r="O62" s="294">
        <f>DGSP_ChiTiet!AL40</f>
        <v>0</v>
      </c>
      <c r="P62" s="294"/>
      <c r="Q62" s="294"/>
      <c r="R62" s="294"/>
      <c r="S62" s="294"/>
      <c r="T62" s="294"/>
    </row>
    <row r="63" spans="1:20" s="86" customFormat="1" ht="14.25" customHeight="1">
      <c r="A63" s="1632"/>
      <c r="B63" s="1873"/>
      <c r="C63" s="1632"/>
      <c r="D63" s="523" t="e">
        <f>D51</f>
        <v>#REF!</v>
      </c>
      <c r="E63" s="294" t="e">
        <f>DGSP_ChiTiet!#REF!</f>
        <v>#REF!</v>
      </c>
      <c r="F63" s="294" t="e">
        <f>DGSP_ChiTiet!#REF!</f>
        <v>#REF!</v>
      </c>
      <c r="G63" s="294" t="e">
        <f>DGSP_ChiTiet!#REF!</f>
        <v>#REF!</v>
      </c>
      <c r="H63" s="294" t="e">
        <f>DGSP_ChiTiet!#REF!</f>
        <v>#REF!</v>
      </c>
      <c r="I63" s="294" t="e">
        <f>DGSP_ChiTiet!#REF!</f>
        <v>#REF!</v>
      </c>
      <c r="J63" s="294" t="e">
        <f>DGSP_ChiTiet!#REF!</f>
        <v>#REF!</v>
      </c>
      <c r="K63" s="294" t="e">
        <f>DGSP_ChiTiet!#REF!</f>
        <v>#REF!</v>
      </c>
      <c r="L63" s="294" t="e">
        <f>DGSP_ChiTiet!#REF!</f>
        <v>#REF!</v>
      </c>
      <c r="M63" s="294" t="e">
        <f>DGSP_ChiTiet!#REF!</f>
        <v>#REF!</v>
      </c>
      <c r="N63" s="294" t="e">
        <f>DGSP_ChiTiet!#REF!</f>
        <v>#REF!</v>
      </c>
      <c r="O63" s="294" t="e">
        <f>DGSP_ChiTiet!#REF!</f>
        <v>#REF!</v>
      </c>
      <c r="P63" s="294"/>
      <c r="Q63" s="294"/>
      <c r="R63" s="294"/>
      <c r="S63" s="294"/>
      <c r="T63" s="294"/>
    </row>
    <row r="64" spans="1:20" s="86" customFormat="1" ht="14.25" customHeight="1">
      <c r="A64" s="1632"/>
      <c r="B64" s="1873"/>
      <c r="C64" s="1632"/>
      <c r="D64" s="523" t="e">
        <f>D52</f>
        <v>#REF!</v>
      </c>
      <c r="E64" s="294" t="e">
        <f>DGSP_ChiTiet!#REF!</f>
        <v>#REF!</v>
      </c>
      <c r="F64" s="294" t="e">
        <f>DGSP_ChiTiet!#REF!</f>
        <v>#REF!</v>
      </c>
      <c r="G64" s="294" t="e">
        <f>DGSP_ChiTiet!#REF!</f>
        <v>#REF!</v>
      </c>
      <c r="H64" s="294" t="e">
        <f>DGSP_ChiTiet!#REF!</f>
        <v>#REF!</v>
      </c>
      <c r="I64" s="294" t="e">
        <f>DGSP_ChiTiet!#REF!</f>
        <v>#REF!</v>
      </c>
      <c r="J64" s="294" t="e">
        <f>DGSP_ChiTiet!#REF!</f>
        <v>#REF!</v>
      </c>
      <c r="K64" s="294" t="e">
        <f>DGSP_ChiTiet!#REF!</f>
        <v>#REF!</v>
      </c>
      <c r="L64" s="294" t="e">
        <f>DGSP_ChiTiet!#REF!</f>
        <v>#REF!</v>
      </c>
      <c r="M64" s="294" t="e">
        <f>DGSP_ChiTiet!#REF!</f>
        <v>#REF!</v>
      </c>
      <c r="N64" s="294" t="e">
        <f>DGSP_ChiTiet!#REF!</f>
        <v>#REF!</v>
      </c>
      <c r="O64" s="294" t="e">
        <f>DGSP_ChiTiet!#REF!</f>
        <v>#REF!</v>
      </c>
      <c r="P64" s="294"/>
      <c r="Q64" s="294"/>
      <c r="R64" s="294"/>
      <c r="S64" s="294"/>
      <c r="T64" s="294"/>
    </row>
    <row r="65" spans="1:20" s="86" customFormat="1" ht="14.25" customHeight="1">
      <c r="A65" s="1632" t="str">
        <f>DGSP_ChiTiet!B48</f>
        <v>IV</v>
      </c>
      <c r="B65" s="1873" t="str">
        <f>DGSP_ChiTiet!C48</f>
        <v>ĐĂNG KÝ, CẤP ĐỔI GIẤY CHỨNG NHẬN ĐỒNG LOẠT TẠI XÃ, PHƯỜNG, ĐẶC KHU (CHƯA BAO GỒM QUÉT HỒ SƠ)</v>
      </c>
      <c r="C65" s="1632" t="str">
        <f>DGSP_ChiTiet!D48</f>
        <v>Hồ sơ</v>
      </c>
      <c r="D65" s="523">
        <f>DGSP_ChiTiet!E48</f>
        <v>1</v>
      </c>
      <c r="E65" s="294">
        <f>DGSP_ChiTiet!F48</f>
        <v>626095.65718557697</v>
      </c>
      <c r="F65" s="294">
        <f>DGSP_ChiTiet!G48</f>
        <v>409.32692307692309</v>
      </c>
      <c r="G65" s="294">
        <f>DGSP_ChiTiet!H48</f>
        <v>6451.4626774153849</v>
      </c>
      <c r="H65" s="294">
        <f>DGSP_ChiTiet!I48</f>
        <v>32760.74</v>
      </c>
      <c r="I65" s="294">
        <f>DGSP_ChiTiet!J48</f>
        <v>9198.6971999999987</v>
      </c>
      <c r="J65" s="294">
        <f>DGSP_ChiTiet!K48</f>
        <v>11710.200001500001</v>
      </c>
      <c r="K65" s="294">
        <f>DGSP_ChiTiet!L48</f>
        <v>686626.0839875692</v>
      </c>
      <c r="L65" s="294">
        <f>DGSP_ChiTiet!M48</f>
        <v>102993.91259813537</v>
      </c>
      <c r="M65" s="294">
        <f>DGSP_ChiTiet!N48</f>
        <v>789619.99658570462</v>
      </c>
      <c r="N65" s="294">
        <f>DGSP_ChiTiet!O48</f>
        <v>869830.51471875003</v>
      </c>
      <c r="O65" s="294">
        <f>DGSP_ChiTiet!P48</f>
        <v>626095.65718557697</v>
      </c>
      <c r="P65" s="294"/>
      <c r="Q65" s="294"/>
      <c r="R65" s="294"/>
      <c r="S65" s="294">
        <f>157356+141459</f>
        <v>298815</v>
      </c>
      <c r="T65" s="294">
        <f>M65-S65</f>
        <v>490804.99658570462</v>
      </c>
    </row>
    <row r="66" spans="1:20" s="86" customFormat="1" ht="14.25" customHeight="1">
      <c r="A66" s="1632">
        <f>DGSP_ChiTiet!B49</f>
        <v>0</v>
      </c>
      <c r="B66" s="1873">
        <f>DGSP_ChiTiet!C49</f>
        <v>0</v>
      </c>
      <c r="C66" s="1632">
        <f>DGSP_ChiTiet!D49</f>
        <v>0</v>
      </c>
      <c r="D66" s="523">
        <f>DGSP_ChiTiet!E49</f>
        <v>2</v>
      </c>
      <c r="E66" s="294">
        <f>DGSP_ChiTiet!F49</f>
        <v>626095.65718557697</v>
      </c>
      <c r="F66" s="294">
        <f>DGSP_ChiTiet!G49</f>
        <v>409.32692307692309</v>
      </c>
      <c r="G66" s="294">
        <f>DGSP_ChiTiet!H49</f>
        <v>7066.4578848461542</v>
      </c>
      <c r="H66" s="294">
        <f>DGSP_ChiTiet!I49</f>
        <v>32760.74</v>
      </c>
      <c r="I66" s="294">
        <f>DGSP_ChiTiet!J49</f>
        <v>9198.6971999999987</v>
      </c>
      <c r="J66" s="294">
        <f>DGSP_ChiTiet!K49</f>
        <v>11710.200001500001</v>
      </c>
      <c r="K66" s="294">
        <f>DGSP_ChiTiet!L49</f>
        <v>687241.079195</v>
      </c>
      <c r="L66" s="294">
        <f>DGSP_ChiTiet!M49</f>
        <v>103086.16187924999</v>
      </c>
      <c r="M66" s="294">
        <f>DGSP_ChiTiet!N49</f>
        <v>790327.24107424996</v>
      </c>
      <c r="N66" s="294">
        <f>DGSP_ChiTiet!O49</f>
        <v>869830.51471875003</v>
      </c>
      <c r="O66" s="294">
        <f>DGSP_ChiTiet!P49</f>
        <v>626095.65718557697</v>
      </c>
      <c r="P66" s="294"/>
      <c r="Q66" s="294"/>
      <c r="R66" s="294"/>
      <c r="S66" s="294">
        <f>172048+141459</f>
        <v>313507</v>
      </c>
      <c r="T66" s="294">
        <f t="shared" ref="T66:T71" si="8">M66-S66</f>
        <v>476820.24107424996</v>
      </c>
    </row>
    <row r="67" spans="1:20" s="86" customFormat="1" ht="14.25" customHeight="1">
      <c r="A67" s="1632">
        <f>DGSP_ChiTiet!B50</f>
        <v>0</v>
      </c>
      <c r="B67" s="1873">
        <f>DGSP_ChiTiet!C50</f>
        <v>0</v>
      </c>
      <c r="C67" s="1632">
        <f>DGSP_ChiTiet!D50</f>
        <v>0</v>
      </c>
      <c r="D67" s="523">
        <f>DGSP_ChiTiet!E50</f>
        <v>3</v>
      </c>
      <c r="E67" s="294">
        <f>DGSP_ChiTiet!F50</f>
        <v>626095.65718557697</v>
      </c>
      <c r="F67" s="294">
        <f>DGSP_ChiTiet!G50</f>
        <v>409.32692307692309</v>
      </c>
      <c r="G67" s="294">
        <f>DGSP_ChiTiet!H50</f>
        <v>7681.4530922769245</v>
      </c>
      <c r="H67" s="294">
        <f>DGSP_ChiTiet!I50</f>
        <v>32760.74</v>
      </c>
      <c r="I67" s="294">
        <f>DGSP_ChiTiet!J50</f>
        <v>9198.6971999999987</v>
      </c>
      <c r="J67" s="294">
        <f>DGSP_ChiTiet!K50</f>
        <v>11710.200001500001</v>
      </c>
      <c r="K67" s="294">
        <f>DGSP_ChiTiet!L50</f>
        <v>687856.07440243079</v>
      </c>
      <c r="L67" s="294">
        <f>DGSP_ChiTiet!M50</f>
        <v>103178.41116036462</v>
      </c>
      <c r="M67" s="294">
        <f>DGSP_ChiTiet!N50</f>
        <v>791034.48556279542</v>
      </c>
      <c r="N67" s="294">
        <f>DGSP_ChiTiet!O50</f>
        <v>869830.51471875003</v>
      </c>
      <c r="O67" s="294">
        <f>DGSP_ChiTiet!P50</f>
        <v>626095.65718557697</v>
      </c>
      <c r="P67" s="294"/>
      <c r="Q67" s="294"/>
      <c r="R67" s="294"/>
      <c r="S67" s="294">
        <f>189749+141459</f>
        <v>331208</v>
      </c>
      <c r="T67" s="294">
        <f t="shared" si="8"/>
        <v>459826.48556279542</v>
      </c>
    </row>
    <row r="68" spans="1:20" s="86" customFormat="1" ht="14.25" customHeight="1">
      <c r="A68" s="1632" t="e">
        <f>DGSP_ChiTiet!#REF!</f>
        <v>#REF!</v>
      </c>
      <c r="B68" s="1874" t="e">
        <f>DGSP_ChiTiet!#REF!</f>
        <v>#REF!</v>
      </c>
      <c r="C68" s="1632" t="e">
        <f>DGSP_ChiTiet!#REF!</f>
        <v>#REF!</v>
      </c>
      <c r="D68" s="523" t="e">
        <f>DGSP_ChiTiet!#REF!</f>
        <v>#REF!</v>
      </c>
      <c r="E68" s="294" t="e">
        <f>DGSP_ChiTiet!#REF!</f>
        <v>#REF!</v>
      </c>
      <c r="F68" s="294" t="e">
        <f>DGSP_ChiTiet!#REF!</f>
        <v>#REF!</v>
      </c>
      <c r="G68" s="294" t="e">
        <f>DGSP_ChiTiet!#REF!</f>
        <v>#REF!</v>
      </c>
      <c r="H68" s="294" t="e">
        <f>DGSP_ChiTiet!#REF!</f>
        <v>#REF!</v>
      </c>
      <c r="I68" s="294" t="e">
        <f>DGSP_ChiTiet!#REF!</f>
        <v>#REF!</v>
      </c>
      <c r="J68" s="294" t="e">
        <f>DGSP_ChiTiet!#REF!</f>
        <v>#REF!</v>
      </c>
      <c r="K68" s="294" t="e">
        <f>DGSP_ChiTiet!#REF!</f>
        <v>#REF!</v>
      </c>
      <c r="L68" s="294" t="e">
        <f>DGSP_ChiTiet!#REF!</f>
        <v>#REF!</v>
      </c>
      <c r="M68" s="294" t="e">
        <f>DGSP_ChiTiet!#REF!</f>
        <v>#REF!</v>
      </c>
      <c r="N68" s="294" t="e">
        <f>DGSP_ChiTiet!#REF!</f>
        <v>#REF!</v>
      </c>
      <c r="O68" s="294" t="e">
        <f>DGSP_ChiTiet!#REF!</f>
        <v>#REF!</v>
      </c>
      <c r="P68" s="294"/>
      <c r="Q68" s="294"/>
      <c r="R68" s="294"/>
      <c r="S68" s="294">
        <f>164234+158491</f>
        <v>322725</v>
      </c>
      <c r="T68" s="294" t="e">
        <f t="shared" si="8"/>
        <v>#REF!</v>
      </c>
    </row>
    <row r="69" spans="1:20" s="86" customFormat="1" ht="14.25" customHeight="1">
      <c r="A69" s="1632" t="e">
        <f>DGSP_ChiTiet!#REF!</f>
        <v>#REF!</v>
      </c>
      <c r="B69" s="1874" t="e">
        <f>DGSP_ChiTiet!#REF!</f>
        <v>#REF!</v>
      </c>
      <c r="C69" s="1632" t="e">
        <f>DGSP_ChiTiet!#REF!</f>
        <v>#REF!</v>
      </c>
      <c r="D69" s="523" t="e">
        <f>DGSP_ChiTiet!#REF!</f>
        <v>#REF!</v>
      </c>
      <c r="E69" s="294" t="e">
        <f>DGSP_ChiTiet!#REF!</f>
        <v>#REF!</v>
      </c>
      <c r="F69" s="294" t="e">
        <f>DGSP_ChiTiet!#REF!</f>
        <v>#REF!</v>
      </c>
      <c r="G69" s="294" t="e">
        <f>DGSP_ChiTiet!#REF!</f>
        <v>#REF!</v>
      </c>
      <c r="H69" s="294" t="e">
        <f>DGSP_ChiTiet!#REF!</f>
        <v>#REF!</v>
      </c>
      <c r="I69" s="294" t="e">
        <f>DGSP_ChiTiet!#REF!</f>
        <v>#REF!</v>
      </c>
      <c r="J69" s="294" t="e">
        <f>DGSP_ChiTiet!#REF!</f>
        <v>#REF!</v>
      </c>
      <c r="K69" s="294" t="e">
        <f>DGSP_ChiTiet!#REF!</f>
        <v>#REF!</v>
      </c>
      <c r="L69" s="294" t="e">
        <f>DGSP_ChiTiet!#REF!</f>
        <v>#REF!</v>
      </c>
      <c r="M69" s="294" t="e">
        <f>DGSP_ChiTiet!#REF!</f>
        <v>#REF!</v>
      </c>
      <c r="N69" s="294" t="e">
        <f>DGSP_ChiTiet!#REF!</f>
        <v>#REF!</v>
      </c>
      <c r="O69" s="294" t="e">
        <f>DGSP_ChiTiet!#REF!</f>
        <v>#REF!</v>
      </c>
      <c r="P69" s="294"/>
      <c r="Q69" s="294"/>
      <c r="R69" s="294"/>
      <c r="S69" s="294">
        <f>191919+158491</f>
        <v>350410</v>
      </c>
      <c r="T69" s="294" t="e">
        <f t="shared" si="8"/>
        <v>#REF!</v>
      </c>
    </row>
    <row r="70" spans="1:20" s="86" customFormat="1" ht="14.25" customHeight="1">
      <c r="A70" s="1632" t="e">
        <f>DGSP_ChiTiet!#REF!</f>
        <v>#REF!</v>
      </c>
      <c r="B70" s="1874" t="e">
        <f>DGSP_ChiTiet!#REF!</f>
        <v>#REF!</v>
      </c>
      <c r="C70" s="1632" t="e">
        <f>DGSP_ChiTiet!#REF!</f>
        <v>#REF!</v>
      </c>
      <c r="D70" s="523" t="e">
        <f>DGSP_ChiTiet!#REF!</f>
        <v>#REF!</v>
      </c>
      <c r="E70" s="294" t="e">
        <f>DGSP_ChiTiet!#REF!</f>
        <v>#REF!</v>
      </c>
      <c r="F70" s="294" t="e">
        <f>DGSP_ChiTiet!#REF!</f>
        <v>#REF!</v>
      </c>
      <c r="G70" s="294" t="e">
        <f>DGSP_ChiTiet!#REF!</f>
        <v>#REF!</v>
      </c>
      <c r="H70" s="294" t="e">
        <f>DGSP_ChiTiet!#REF!</f>
        <v>#REF!</v>
      </c>
      <c r="I70" s="294" t="e">
        <f>DGSP_ChiTiet!#REF!</f>
        <v>#REF!</v>
      </c>
      <c r="J70" s="294" t="e">
        <f>DGSP_ChiTiet!#REF!</f>
        <v>#REF!</v>
      </c>
      <c r="K70" s="294" t="e">
        <f>DGSP_ChiTiet!#REF!</f>
        <v>#REF!</v>
      </c>
      <c r="L70" s="294" t="e">
        <f>DGSP_ChiTiet!#REF!</f>
        <v>#REF!</v>
      </c>
      <c r="M70" s="294" t="e">
        <f>DGSP_ChiTiet!#REF!</f>
        <v>#REF!</v>
      </c>
      <c r="N70" s="294" t="e">
        <f>DGSP_ChiTiet!#REF!</f>
        <v>#REF!</v>
      </c>
      <c r="O70" s="294" t="e">
        <f>DGSP_ChiTiet!#REF!</f>
        <v>#REF!</v>
      </c>
      <c r="P70" s="294"/>
      <c r="Q70" s="294"/>
      <c r="R70" s="294"/>
      <c r="S70" s="294">
        <f>202790+158491</f>
        <v>361281</v>
      </c>
      <c r="T70" s="294" t="e">
        <f t="shared" si="8"/>
        <v>#REF!</v>
      </c>
    </row>
    <row r="71" spans="1:20" s="86" customFormat="1" ht="14.25" customHeight="1">
      <c r="A71" s="1632" t="e">
        <f>DGSP_ChiTiet!#REF!</f>
        <v>#REF!</v>
      </c>
      <c r="B71" s="1874" t="e">
        <f>DGSP_ChiTiet!#REF!</f>
        <v>#REF!</v>
      </c>
      <c r="C71" s="1632" t="e">
        <f>DGSP_ChiTiet!#REF!</f>
        <v>#REF!</v>
      </c>
      <c r="D71" s="523" t="e">
        <f>DGSP_ChiTiet!#REF!</f>
        <v>#REF!</v>
      </c>
      <c r="E71" s="294" t="e">
        <f>DGSP_ChiTiet!#REF!</f>
        <v>#REF!</v>
      </c>
      <c r="F71" s="294" t="e">
        <f>DGSP_ChiTiet!#REF!</f>
        <v>#REF!</v>
      </c>
      <c r="G71" s="294" t="e">
        <f>DGSP_ChiTiet!#REF!</f>
        <v>#REF!</v>
      </c>
      <c r="H71" s="294" t="e">
        <f>DGSP_ChiTiet!#REF!</f>
        <v>#REF!</v>
      </c>
      <c r="I71" s="294" t="e">
        <f>DGSP_ChiTiet!#REF!</f>
        <v>#REF!</v>
      </c>
      <c r="J71" s="294" t="e">
        <f>DGSP_ChiTiet!#REF!</f>
        <v>#REF!</v>
      </c>
      <c r="K71" s="294" t="e">
        <f>DGSP_ChiTiet!#REF!</f>
        <v>#REF!</v>
      </c>
      <c r="L71" s="294" t="e">
        <f>DGSP_ChiTiet!#REF!</f>
        <v>#REF!</v>
      </c>
      <c r="M71" s="294" t="e">
        <f>DGSP_ChiTiet!#REF!</f>
        <v>#REF!</v>
      </c>
      <c r="N71" s="294" t="e">
        <f>DGSP_ChiTiet!#REF!</f>
        <v>#REF!</v>
      </c>
      <c r="O71" s="294" t="e">
        <f>DGSP_ChiTiet!#REF!</f>
        <v>#REF!</v>
      </c>
      <c r="P71" s="294"/>
      <c r="Q71" s="294"/>
      <c r="R71" s="294"/>
      <c r="S71" s="294">
        <f>227910+158491</f>
        <v>386401</v>
      </c>
      <c r="T71" s="294" t="e">
        <f t="shared" si="8"/>
        <v>#REF!</v>
      </c>
    </row>
    <row r="72" spans="1:20" s="86" customFormat="1">
      <c r="A72" s="1632" t="str">
        <f>DGSP_ChiTiet!B64</f>
        <v>V</v>
      </c>
      <c r="B72" s="1873" t="str">
        <f>DGSP_ChiTiet!C64</f>
        <v>Đăng ký, cấp đổi, cấp lại Giấy chứng nhận riêng lẻ đối với hộ gia đình, cá nhân, cộng đồng dân cư, người gốc Việt Nam định cư ở nước ngoài.</v>
      </c>
      <c r="C72" s="1632" t="str">
        <f>DGSP_ChiTiet!D64</f>
        <v>Hồ sơ</v>
      </c>
      <c r="D72" s="1632" t="str">
        <f>DGSP_ChiTiet!E64</f>
        <v>1-3</v>
      </c>
      <c r="E72" s="1660" t="str">
        <f>DGSP_ChiTiet!F64</f>
        <v>Đăng ký cấp GCN đối với đất</v>
      </c>
      <c r="F72" s="1660"/>
      <c r="G72" s="1660"/>
      <c r="H72" s="1660"/>
      <c r="I72" s="1660"/>
      <c r="J72" s="1660"/>
      <c r="K72" s="1660"/>
      <c r="L72" s="1660"/>
      <c r="M72" s="1660"/>
      <c r="N72" s="294">
        <f>DGSP_ChiTiet!O64</f>
        <v>0</v>
      </c>
      <c r="O72" s="294">
        <f>DGSP_ChiTiet!P64</f>
        <v>0</v>
      </c>
      <c r="P72" s="294"/>
      <c r="Q72" s="294"/>
      <c r="R72" s="294"/>
      <c r="S72" s="294"/>
      <c r="T72" s="294"/>
    </row>
    <row r="73" spans="1:20" s="83" customFormat="1">
      <c r="A73" s="1632"/>
      <c r="B73" s="1873"/>
      <c r="C73" s="1632"/>
      <c r="D73" s="1632"/>
      <c r="E73" s="294">
        <f>DGSP_ChiTiet!F65</f>
        <v>947998.35000000009</v>
      </c>
      <c r="F73" s="294">
        <f>DGSP_ChiTiet!G65</f>
        <v>0</v>
      </c>
      <c r="G73" s="294">
        <f>DGSP_ChiTiet!H65</f>
        <v>9922.1415201410255</v>
      </c>
      <c r="H73" s="294">
        <f>DGSP_ChiTiet!I65</f>
        <v>18752.5</v>
      </c>
      <c r="I73" s="294">
        <f>DGSP_ChiTiet!J65</f>
        <v>16531.804800000002</v>
      </c>
      <c r="J73" s="294">
        <f>DGSP_ChiTiet!K65</f>
        <v>24015.497688000003</v>
      </c>
      <c r="K73" s="294">
        <f>DGSP_ChiTiet!L65</f>
        <v>1017220.2940081412</v>
      </c>
      <c r="L73" s="294">
        <f>DGSP_ChiTiet!M65</f>
        <v>152583.04410122117</v>
      </c>
      <c r="M73" s="294">
        <f>DGSP_ChiTiet!N65</f>
        <v>1169803.3381093624</v>
      </c>
      <c r="N73" s="294">
        <f>DGSP_ChiTiet!O65</f>
        <v>61303.671000000009</v>
      </c>
      <c r="O73" s="294">
        <f>DGSP_ChiTiet!P65</f>
        <v>92962.692307692327</v>
      </c>
      <c r="P73" s="294"/>
      <c r="Q73" s="294"/>
      <c r="R73" s="294"/>
      <c r="S73" s="294"/>
      <c r="T73" s="294"/>
    </row>
    <row r="74" spans="1:20" s="86" customFormat="1">
      <c r="A74" s="1632"/>
      <c r="B74" s="1873"/>
      <c r="C74" s="1632"/>
      <c r="D74" s="1632"/>
      <c r="E74" s="1632" t="str">
        <f>DGSP_ChiTiet!Q64</f>
        <v>Đăng ký cấp GCN đối với tài sản</v>
      </c>
      <c r="F74" s="1632"/>
      <c r="G74" s="1632"/>
      <c r="H74" s="1632"/>
      <c r="I74" s="1632"/>
      <c r="J74" s="1632"/>
      <c r="K74" s="1632"/>
      <c r="L74" s="1632"/>
      <c r="M74" s="1632"/>
      <c r="N74" s="525">
        <f>DGSP_ChiTiet!Z64</f>
        <v>0</v>
      </c>
      <c r="O74" s="525">
        <f>DGSP_ChiTiet!AA64</f>
        <v>0</v>
      </c>
      <c r="P74" s="294"/>
      <c r="Q74" s="294"/>
      <c r="R74" s="294"/>
      <c r="S74" s="294"/>
      <c r="T74" s="294"/>
    </row>
    <row r="75" spans="1:20" s="83" customFormat="1">
      <c r="A75" s="1632"/>
      <c r="B75" s="1873"/>
      <c r="C75" s="1632"/>
      <c r="D75" s="1632"/>
      <c r="E75" s="294">
        <f>DGSP_ChiTiet!Q65</f>
        <v>883809.22500000009</v>
      </c>
      <c r="F75" s="294">
        <f>DGSP_ChiTiet!R65</f>
        <v>0</v>
      </c>
      <c r="G75" s="294">
        <f>DGSP_ChiTiet!S65</f>
        <v>9922.1415201410255</v>
      </c>
      <c r="H75" s="294">
        <f>DGSP_ChiTiet!T65</f>
        <v>18752.5</v>
      </c>
      <c r="I75" s="294">
        <f>DGSP_ChiTiet!U65</f>
        <v>16531.804800000002</v>
      </c>
      <c r="J75" s="294">
        <f>DGSP_ChiTiet!V65</f>
        <v>24015.497688000003</v>
      </c>
      <c r="K75" s="294">
        <f>DGSP_ChiTiet!W65</f>
        <v>953031.16900814115</v>
      </c>
      <c r="L75" s="294">
        <f>DGSP_ChiTiet!X65</f>
        <v>142954.67535122117</v>
      </c>
      <c r="M75" s="294">
        <f>DGSP_ChiTiet!Y65</f>
        <v>1095985.8443593623</v>
      </c>
      <c r="N75" s="294">
        <f>DGSP_ChiTiet!Z65</f>
        <v>56293.029000000002</v>
      </c>
      <c r="O75" s="294">
        <f>DGSP_ChiTiet!AA65</f>
        <v>90941.153846153858</v>
      </c>
      <c r="P75" s="294"/>
      <c r="Q75" s="294"/>
      <c r="R75" s="294"/>
      <c r="S75" s="294"/>
      <c r="T75" s="294"/>
    </row>
    <row r="76" spans="1:20" s="86" customFormat="1" ht="27" customHeight="1">
      <c r="A76" s="1632"/>
      <c r="B76" s="1873"/>
      <c r="C76" s="1632"/>
      <c r="D76" s="1632"/>
      <c r="E76" s="1632" t="str">
        <f>DGSP_ChiTiet!AB64</f>
        <v>Đăng ký cấp GCN đối với đất và tài sản</v>
      </c>
      <c r="F76" s="1632"/>
      <c r="G76" s="1632"/>
      <c r="H76" s="1632"/>
      <c r="I76" s="1632"/>
      <c r="J76" s="1632"/>
      <c r="K76" s="1632"/>
      <c r="L76" s="1632"/>
      <c r="M76" s="1632"/>
      <c r="N76" s="525">
        <f>DGSP_ChiTiet!AK64</f>
        <v>0</v>
      </c>
      <c r="O76" s="525">
        <f>DGSP_ChiTiet!AL64</f>
        <v>0</v>
      </c>
      <c r="P76" s="294"/>
      <c r="Q76" s="294"/>
      <c r="R76" s="294"/>
      <c r="S76" s="294"/>
      <c r="T76" s="294"/>
    </row>
    <row r="77" spans="1:20" s="83" customFormat="1">
      <c r="A77" s="1632"/>
      <c r="B77" s="1873"/>
      <c r="C77" s="1632"/>
      <c r="D77" s="1632"/>
      <c r="E77" s="294">
        <f>DGSP_ChiTiet!AB65</f>
        <v>1234782.0225</v>
      </c>
      <c r="F77" s="294">
        <f>DGSP_ChiTiet!AC65</f>
        <v>0</v>
      </c>
      <c r="G77" s="294">
        <f>DGSP_ChiTiet!AD65</f>
        <v>12898.783976183333</v>
      </c>
      <c r="H77" s="294">
        <f>DGSP_ChiTiet!AE65</f>
        <v>18752.5</v>
      </c>
      <c r="I77" s="294">
        <f>DGSP_ChiTiet!AF65</f>
        <v>21491.346240000003</v>
      </c>
      <c r="J77" s="294">
        <f>DGSP_ChiTiet!AG65</f>
        <v>31220.146994400005</v>
      </c>
      <c r="K77" s="294">
        <f>DGSP_ChiTiet!AH65</f>
        <v>1319144.7997105834</v>
      </c>
      <c r="L77" s="294">
        <f>DGSP_ChiTiet!AI65</f>
        <v>197871.71995658751</v>
      </c>
      <c r="M77" s="294">
        <f>DGSP_ChiTiet!AJ65</f>
        <v>1517016.5196671709</v>
      </c>
      <c r="N77" s="294">
        <f>DGSP_ChiTiet!AK65</f>
        <v>81218.416500000007</v>
      </c>
      <c r="O77" s="294">
        <f>DGSP_ChiTiet!AL65</f>
        <v>120000.76923076923</v>
      </c>
      <c r="P77" s="294"/>
      <c r="Q77" s="294"/>
      <c r="R77" s="294"/>
      <c r="S77" s="294"/>
      <c r="T77" s="294"/>
    </row>
    <row r="78" spans="1:20" s="83" customFormat="1" ht="26.45" customHeight="1">
      <c r="A78" s="1632" t="str">
        <f>DGSP_ChiTiet!B67</f>
        <v>VI</v>
      </c>
      <c r="B78" s="1873" t="str">
        <f>DGSP_ChiTiet!C67</f>
        <v>Đăng ký, cấp đổi, cấp lại Giấy chứng nhận riêng lẻ đối với tổ chức, tổ chức tôn giáo, tổ chức tôn giáo trực thuộc, tổ chức nước ngoài có chức năng ngoại giao, tổ chức kinh tế có vốn đầu tư nước ngoài, tổ chức nước ngoài, cá nhân nước ngoài</v>
      </c>
      <c r="C78" s="1632" t="str">
        <f>DGSP_ChiTiet!D67</f>
        <v>Hồ sơ</v>
      </c>
      <c r="D78" s="1632" t="str">
        <f>DGSP_ChiTiet!E67</f>
        <v>1-3</v>
      </c>
      <c r="E78" s="1660" t="str">
        <f>DGSP_ChiTiet!F67</f>
        <v>Đăng ký cấp GCN đối với đất</v>
      </c>
      <c r="F78" s="1660"/>
      <c r="G78" s="1660"/>
      <c r="H78" s="1660"/>
      <c r="I78" s="1660"/>
      <c r="J78" s="1660"/>
      <c r="K78" s="1660"/>
      <c r="L78" s="1660"/>
      <c r="M78" s="1660"/>
      <c r="N78" s="294"/>
      <c r="O78" s="294"/>
      <c r="P78" s="294"/>
      <c r="Q78" s="294"/>
      <c r="R78" s="294"/>
      <c r="S78" s="294"/>
      <c r="T78" s="294"/>
    </row>
    <row r="79" spans="1:20" s="83" customFormat="1" ht="15" customHeight="1">
      <c r="A79" s="1632"/>
      <c r="B79" s="1873"/>
      <c r="C79" s="1632"/>
      <c r="D79" s="1632"/>
      <c r="E79" s="294">
        <f>DGSP_ChiTiet!F68</f>
        <v>1328331.4199999997</v>
      </c>
      <c r="F79" s="294">
        <f>DGSP_ChiTiet!G68</f>
        <v>0</v>
      </c>
      <c r="G79" s="294">
        <f>DGSP_ChiTiet!H68</f>
        <v>15337.920879692307</v>
      </c>
      <c r="H79" s="294">
        <f>DGSP_ChiTiet!I68</f>
        <v>24019</v>
      </c>
      <c r="I79" s="294">
        <f>DGSP_ChiTiet!J68</f>
        <v>22041.186399999999</v>
      </c>
      <c r="J79" s="294">
        <f>DGSP_ChiTiet!K68</f>
        <v>32016.255453000002</v>
      </c>
      <c r="K79" s="294">
        <f>DGSP_ChiTiet!L68</f>
        <v>1421745.7827326921</v>
      </c>
      <c r="L79" s="294">
        <f>DGSP_ChiTiet!M68</f>
        <v>213261.86740990382</v>
      </c>
      <c r="M79" s="294">
        <f>DGSP_ChiTiet!N68</f>
        <v>1635007.6501425959</v>
      </c>
      <c r="N79" s="294">
        <f>DGSP_ChiTiet!O68</f>
        <v>81959.787000000011</v>
      </c>
      <c r="O79" s="294">
        <f>DGSP_ChiTiet!P68</f>
        <v>120702.69230769231</v>
      </c>
      <c r="P79" s="294"/>
      <c r="Q79" s="294"/>
      <c r="R79" s="294"/>
      <c r="S79" s="294"/>
      <c r="T79" s="294"/>
    </row>
    <row r="80" spans="1:20" s="83" customFormat="1" ht="15" customHeight="1">
      <c r="A80" s="1632"/>
      <c r="B80" s="1873"/>
      <c r="C80" s="1632"/>
      <c r="D80" s="1632"/>
      <c r="E80" s="1660" t="str">
        <f>DGSP_ChiTiet!Q67</f>
        <v>Đăng ký cấp GCN đối với tài sản</v>
      </c>
      <c r="F80" s="1660"/>
      <c r="G80" s="1660"/>
      <c r="H80" s="1660"/>
      <c r="I80" s="1660"/>
      <c r="J80" s="1660"/>
      <c r="K80" s="1660"/>
      <c r="L80" s="1660"/>
      <c r="M80" s="1660"/>
      <c r="N80" s="294"/>
      <c r="O80" s="294"/>
      <c r="P80" s="294"/>
      <c r="Q80" s="294"/>
      <c r="R80" s="294"/>
      <c r="S80" s="294"/>
      <c r="T80" s="294"/>
    </row>
    <row r="81" spans="1:20" s="83" customFormat="1" ht="15" customHeight="1">
      <c r="A81" s="1632"/>
      <c r="B81" s="1873"/>
      <c r="C81" s="1632"/>
      <c r="D81" s="1632"/>
      <c r="E81" s="294">
        <f>DGSP_ChiTiet!Q68</f>
        <v>1264142.2949999997</v>
      </c>
      <c r="F81" s="294">
        <f>DGSP_ChiTiet!R68</f>
        <v>0</v>
      </c>
      <c r="G81" s="294">
        <f>DGSP_ChiTiet!S68</f>
        <v>15337.920879692307</v>
      </c>
      <c r="H81" s="294">
        <f>DGSP_ChiTiet!T68</f>
        <v>24019</v>
      </c>
      <c r="I81" s="294">
        <f>DGSP_ChiTiet!U68</f>
        <v>22041.186399999999</v>
      </c>
      <c r="J81" s="294">
        <f>DGSP_ChiTiet!V68</f>
        <v>32016.255453000002</v>
      </c>
      <c r="K81" s="294">
        <f>DGSP_ChiTiet!W68</f>
        <v>1357556.6577326921</v>
      </c>
      <c r="L81" s="294">
        <f>DGSP_ChiTiet!X68</f>
        <v>203633.49865990379</v>
      </c>
      <c r="M81" s="294">
        <f>DGSP_ChiTiet!Y68</f>
        <v>1561190.156392596</v>
      </c>
      <c r="N81" s="294">
        <f>DGSP_ChiTiet!Z68</f>
        <v>76463.419500000018</v>
      </c>
      <c r="O81" s="294">
        <f>DGSP_ChiTiet!AA68</f>
        <v>118709.23076923077</v>
      </c>
      <c r="P81" s="294"/>
      <c r="Q81" s="294"/>
      <c r="R81" s="294"/>
      <c r="S81" s="294"/>
      <c r="T81" s="294"/>
    </row>
    <row r="82" spans="1:20" s="83" customFormat="1" ht="28.5" customHeight="1">
      <c r="A82" s="1632"/>
      <c r="B82" s="1873"/>
      <c r="C82" s="1632"/>
      <c r="D82" s="1632"/>
      <c r="E82" s="1660" t="str">
        <f>DGSP_ChiTiet!AB67</f>
        <v>Đăng ký cấp GCN đối với đất và tài sản</v>
      </c>
      <c r="F82" s="1660"/>
      <c r="G82" s="1660"/>
      <c r="H82" s="1660"/>
      <c r="I82" s="1660"/>
      <c r="J82" s="1660"/>
      <c r="K82" s="1660"/>
      <c r="L82" s="1660"/>
      <c r="M82" s="1660"/>
      <c r="N82" s="294"/>
      <c r="O82" s="294"/>
      <c r="P82" s="294"/>
      <c r="Q82" s="294"/>
      <c r="R82" s="294"/>
      <c r="S82" s="294"/>
      <c r="T82" s="294"/>
    </row>
    <row r="83" spans="1:20" s="83" customFormat="1" ht="15" customHeight="1">
      <c r="A83" s="1632"/>
      <c r="B83" s="1873"/>
      <c r="C83" s="1632"/>
      <c r="D83" s="1632"/>
      <c r="E83" s="294">
        <f>DGSP_ChiTiet!AB68</f>
        <v>1818449.568</v>
      </c>
      <c r="F83" s="294">
        <f>DGSP_ChiTiet!AC68</f>
        <v>0</v>
      </c>
      <c r="G83" s="294">
        <f>DGSP_ChiTiet!AD68</f>
        <v>19939.297143600001</v>
      </c>
      <c r="H83" s="294">
        <f>DGSP_ChiTiet!AE68</f>
        <v>24019</v>
      </c>
      <c r="I83" s="294">
        <f>DGSP_ChiTiet!AF68</f>
        <v>28653.54232</v>
      </c>
      <c r="J83" s="294">
        <f>DGSP_ChiTiet!AG68</f>
        <v>41621.132088900005</v>
      </c>
      <c r="K83" s="294">
        <f>DGSP_ChiTiet!AH68</f>
        <v>1932682.5395525</v>
      </c>
      <c r="L83" s="294">
        <f>DGSP_ChiTiet!AI68</f>
        <v>289902.38093287498</v>
      </c>
      <c r="M83" s="294">
        <f>DGSP_ChiTiet!AJ68</f>
        <v>2222584.920485375</v>
      </c>
      <c r="N83" s="294">
        <f>DGSP_ChiTiet!AK68</f>
        <v>114963.55650000004</v>
      </c>
      <c r="O83" s="294">
        <f>DGSP_ChiTiet!AL68</f>
        <v>165401.15384615387</v>
      </c>
      <c r="P83" s="294"/>
      <c r="Q83" s="294"/>
      <c r="R83" s="294"/>
      <c r="S83" s="294"/>
      <c r="T83" s="294"/>
    </row>
    <row r="84" spans="1:20" s="83" customFormat="1" ht="28.5" customHeight="1">
      <c r="A84" s="523" t="str">
        <f>DGSP_ChiTiet!B71</f>
        <v>VII</v>
      </c>
      <c r="B84" s="522" t="str">
        <f>DGSP_ChiTiet!C71</f>
        <v>Đăng ký biến động đất đai đối với hộ gia đình, cá nhân, cộng đồng dân cư, người gốc Việt Nam định cư ở nước ngoài</v>
      </c>
      <c r="C84" s="523">
        <f>DGSP_ChiTiet!D71</f>
        <v>0</v>
      </c>
      <c r="D84" s="522">
        <f>DGSP_ChiTiet!E71</f>
        <v>0</v>
      </c>
      <c r="E84" s="1660" t="str">
        <f>DGSP_ChiTiet!F71</f>
        <v>Đăng ký cấp GCN đối với đất</v>
      </c>
      <c r="F84" s="1660"/>
      <c r="G84" s="1660"/>
      <c r="H84" s="1660"/>
      <c r="I84" s="1660"/>
      <c r="J84" s="1660"/>
      <c r="K84" s="1660"/>
      <c r="L84" s="1660"/>
      <c r="M84" s="1660"/>
      <c r="N84" s="294"/>
      <c r="O84" s="294"/>
      <c r="P84" s="294"/>
      <c r="Q84" s="294"/>
      <c r="R84" s="294"/>
      <c r="S84" s="294"/>
      <c r="T84" s="294"/>
    </row>
    <row r="85" spans="1:20" s="83" customFormat="1" ht="32.25" customHeight="1">
      <c r="A85" s="526" t="str">
        <f>DGSP_ChiTiet!B72</f>
        <v>A</v>
      </c>
      <c r="B85" s="527" t="str">
        <f>DGSP_ChiTiet!C72</f>
        <v>Tại địa bàn xã, phường, đặc khu</v>
      </c>
      <c r="C85" s="523" t="str">
        <f>DGSP_ChiTiet!D72</f>
        <v>Hồ sơ</v>
      </c>
      <c r="D85" s="522">
        <f>DGSP_ChiTiet!E72</f>
        <v>0</v>
      </c>
      <c r="E85" s="294">
        <f>DGSP_ChiTiet!F72</f>
        <v>1854215.415</v>
      </c>
      <c r="F85" s="294">
        <f>DGSP_ChiTiet!G72</f>
        <v>0</v>
      </c>
      <c r="G85" s="294">
        <f>DGSP_ChiTiet!H72</f>
        <v>15588.302071794873</v>
      </c>
      <c r="H85" s="294">
        <f>DGSP_ChiTiet!I72</f>
        <v>22899.599999999999</v>
      </c>
      <c r="I85" s="294">
        <f>DGSP_ChiTiet!J72</f>
        <v>13908.5008</v>
      </c>
      <c r="J85" s="294">
        <f>DGSP_ChiTiet!K72</f>
        <v>17938.889104499998</v>
      </c>
      <c r="K85" s="294">
        <f>DGSP_ChiTiet!L72</f>
        <v>1924550.706976295</v>
      </c>
      <c r="L85" s="294">
        <f>DGSP_ChiTiet!M72</f>
        <v>288682.60604644421</v>
      </c>
      <c r="M85" s="294">
        <f>DGSP_ChiTiet!N72</f>
        <v>2213233.3130227393</v>
      </c>
      <c r="N85" s="294">
        <f>DGSP_ChiTiet!O72</f>
        <v>98397.760499999989</v>
      </c>
      <c r="O85" s="294">
        <f>DGSP_ChiTiet!P72</f>
        <v>108068.07692307694</v>
      </c>
      <c r="P85" s="294"/>
      <c r="Q85" s="294"/>
      <c r="R85" s="294"/>
      <c r="S85" s="294"/>
      <c r="T85" s="294"/>
    </row>
    <row r="86" spans="1:20" s="83" customFormat="1" ht="16.5" customHeight="1">
      <c r="A86" s="526" t="e">
        <f>DGSP_ChiTiet!#REF!</f>
        <v>#REF!</v>
      </c>
      <c r="B86" s="527" t="e">
        <f>DGSP_ChiTiet!#REF!</f>
        <v>#REF!</v>
      </c>
      <c r="C86" s="523" t="e">
        <f>DGSP_ChiTiet!#REF!</f>
        <v>#REF!</v>
      </c>
      <c r="D86" s="522" t="e">
        <f>DGSP_ChiTiet!#REF!</f>
        <v>#REF!</v>
      </c>
      <c r="E86" s="294" t="e">
        <f>DGSP_ChiTiet!#REF!</f>
        <v>#REF!</v>
      </c>
      <c r="F86" s="294" t="e">
        <f>DGSP_ChiTiet!#REF!</f>
        <v>#REF!</v>
      </c>
      <c r="G86" s="294" t="e">
        <f>DGSP_ChiTiet!#REF!</f>
        <v>#REF!</v>
      </c>
      <c r="H86" s="294" t="e">
        <f>DGSP_ChiTiet!#REF!</f>
        <v>#REF!</v>
      </c>
      <c r="I86" s="294" t="e">
        <f>DGSP_ChiTiet!#REF!</f>
        <v>#REF!</v>
      </c>
      <c r="J86" s="294" t="e">
        <f>DGSP_ChiTiet!#REF!</f>
        <v>#REF!</v>
      </c>
      <c r="K86" s="294" t="e">
        <f>DGSP_ChiTiet!#REF!</f>
        <v>#REF!</v>
      </c>
      <c r="L86" s="294" t="e">
        <f>DGSP_ChiTiet!#REF!</f>
        <v>#REF!</v>
      </c>
      <c r="M86" s="294" t="e">
        <f>DGSP_ChiTiet!#REF!</f>
        <v>#REF!</v>
      </c>
      <c r="N86" s="294" t="e">
        <f>DGSP_ChiTiet!#REF!</f>
        <v>#REF!</v>
      </c>
      <c r="O86" s="294" t="e">
        <f>DGSP_ChiTiet!#REF!</f>
        <v>#REF!</v>
      </c>
      <c r="P86" s="294"/>
      <c r="Q86" s="294"/>
      <c r="R86" s="294"/>
      <c r="S86" s="294"/>
      <c r="T86" s="294"/>
    </row>
    <row r="87" spans="1:20" s="83" customFormat="1" ht="16.5" customHeight="1">
      <c r="A87" s="523"/>
      <c r="B87" s="522"/>
      <c r="C87" s="523"/>
      <c r="D87" s="522"/>
      <c r="E87" s="1660" t="str">
        <f>DGSP_ChiTiet!Q71</f>
        <v>Đăng ký cấp GCN đối với tài sản</v>
      </c>
      <c r="F87" s="1660"/>
      <c r="G87" s="1660"/>
      <c r="H87" s="1660"/>
      <c r="I87" s="1660"/>
      <c r="J87" s="1660"/>
      <c r="K87" s="1660"/>
      <c r="L87" s="1660"/>
      <c r="M87" s="1660"/>
      <c r="N87" s="294"/>
      <c r="O87" s="294"/>
      <c r="P87" s="294"/>
      <c r="Q87" s="294"/>
      <c r="R87" s="294"/>
      <c r="S87" s="294"/>
      <c r="T87" s="294"/>
    </row>
    <row r="88" spans="1:20" s="83" customFormat="1" ht="28.5" customHeight="1">
      <c r="A88" s="526" t="str">
        <f t="shared" ref="A88:C89" si="9">A85</f>
        <v>A</v>
      </c>
      <c r="B88" s="527" t="str">
        <f t="shared" si="9"/>
        <v>Tại địa bàn xã, phường, đặc khu</v>
      </c>
      <c r="C88" s="523" t="str">
        <f t="shared" si="9"/>
        <v>Hồ sơ</v>
      </c>
      <c r="D88" s="522"/>
      <c r="E88" s="294">
        <f>DGSP_ChiTiet!Q72</f>
        <v>2017939.365</v>
      </c>
      <c r="F88" s="294">
        <f>DGSP_ChiTiet!R72</f>
        <v>0</v>
      </c>
      <c r="G88" s="294">
        <f>DGSP_ChiTiet!S72</f>
        <v>15588.302071794873</v>
      </c>
      <c r="H88" s="294">
        <f>DGSP_ChiTiet!T72</f>
        <v>22899.599999999999</v>
      </c>
      <c r="I88" s="294">
        <f>DGSP_ChiTiet!U72</f>
        <v>13908.5008</v>
      </c>
      <c r="J88" s="294">
        <f>DGSP_ChiTiet!V72</f>
        <v>17938.889104499998</v>
      </c>
      <c r="K88" s="294">
        <f>DGSP_ChiTiet!W72</f>
        <v>2088274.6569762949</v>
      </c>
      <c r="L88" s="294">
        <f>DGSP_ChiTiet!X72</f>
        <v>313241.19854644424</v>
      </c>
      <c r="M88" s="294">
        <f>DGSP_ChiTiet!Y72</f>
        <v>2401515.8555227392</v>
      </c>
      <c r="N88" s="294">
        <f>DGSP_ChiTiet!Z72</f>
        <v>112969.5255</v>
      </c>
      <c r="O88" s="294">
        <f>DGSP_ChiTiet!AA72</f>
        <v>124071.92307692309</v>
      </c>
      <c r="P88" s="294"/>
      <c r="Q88" s="294"/>
      <c r="R88" s="294"/>
      <c r="S88" s="294"/>
      <c r="T88" s="294"/>
    </row>
    <row r="89" spans="1:20" s="83" customFormat="1" ht="16.5" customHeight="1">
      <c r="A89" s="526" t="e">
        <f t="shared" si="9"/>
        <v>#REF!</v>
      </c>
      <c r="B89" s="527" t="e">
        <f t="shared" si="9"/>
        <v>#REF!</v>
      </c>
      <c r="C89" s="523" t="e">
        <f t="shared" si="9"/>
        <v>#REF!</v>
      </c>
      <c r="D89" s="522"/>
      <c r="E89" s="294" t="e">
        <f>DGSP_ChiTiet!#REF!</f>
        <v>#REF!</v>
      </c>
      <c r="F89" s="294" t="e">
        <f>DGSP_ChiTiet!#REF!</f>
        <v>#REF!</v>
      </c>
      <c r="G89" s="294" t="e">
        <f>DGSP_ChiTiet!#REF!</f>
        <v>#REF!</v>
      </c>
      <c r="H89" s="294" t="e">
        <f>DGSP_ChiTiet!#REF!</f>
        <v>#REF!</v>
      </c>
      <c r="I89" s="294" t="e">
        <f>DGSP_ChiTiet!#REF!</f>
        <v>#REF!</v>
      </c>
      <c r="J89" s="294" t="e">
        <f>DGSP_ChiTiet!#REF!</f>
        <v>#REF!</v>
      </c>
      <c r="K89" s="294" t="e">
        <f>DGSP_ChiTiet!#REF!</f>
        <v>#REF!</v>
      </c>
      <c r="L89" s="294" t="e">
        <f>DGSP_ChiTiet!#REF!</f>
        <v>#REF!</v>
      </c>
      <c r="M89" s="294" t="e">
        <f>DGSP_ChiTiet!#REF!</f>
        <v>#REF!</v>
      </c>
      <c r="N89" s="294" t="e">
        <f>DGSP_ChiTiet!#REF!</f>
        <v>#REF!</v>
      </c>
      <c r="O89" s="294" t="e">
        <f>DGSP_ChiTiet!#REF!</f>
        <v>#REF!</v>
      </c>
      <c r="P89" s="294"/>
      <c r="Q89" s="294"/>
      <c r="R89" s="294"/>
      <c r="S89" s="294"/>
      <c r="T89" s="294"/>
    </row>
    <row r="90" spans="1:20" s="83" customFormat="1" ht="30.75" customHeight="1">
      <c r="A90" s="523"/>
      <c r="B90" s="522"/>
      <c r="C90" s="523">
        <f>C84</f>
        <v>0</v>
      </c>
      <c r="D90" s="522"/>
      <c r="E90" s="1660" t="str">
        <f>DGSP_ChiTiet!AB71</f>
        <v>Đăng ký cấp GCN đối với đất và tài sản</v>
      </c>
      <c r="F90" s="1660"/>
      <c r="G90" s="1660"/>
      <c r="H90" s="1660"/>
      <c r="I90" s="1660"/>
      <c r="J90" s="1660"/>
      <c r="K90" s="1660"/>
      <c r="L90" s="1660"/>
      <c r="M90" s="1660"/>
      <c r="N90" s="294"/>
      <c r="O90" s="294"/>
      <c r="P90" s="294"/>
      <c r="Q90" s="294"/>
      <c r="R90" s="294"/>
      <c r="S90" s="294"/>
      <c r="T90" s="294"/>
    </row>
    <row r="91" spans="1:20" s="83" customFormat="1" ht="27.75" customHeight="1">
      <c r="A91" s="526" t="str">
        <f>A85</f>
        <v>A</v>
      </c>
      <c r="B91" s="527" t="str">
        <f>B85</f>
        <v>Tại địa bàn xã, phường, đặc khu</v>
      </c>
      <c r="C91" s="523" t="str">
        <f>C85</f>
        <v>Hồ sơ</v>
      </c>
      <c r="D91" s="522"/>
      <c r="E91" s="294">
        <f>DGSP_ChiTiet!AB72</f>
        <v>2538161.3789999997</v>
      </c>
      <c r="F91" s="294">
        <f>DGSP_ChiTiet!AC72</f>
        <v>0</v>
      </c>
      <c r="G91" s="294">
        <f>DGSP_ChiTiet!AD72</f>
        <v>20264.792693333337</v>
      </c>
      <c r="H91" s="294">
        <f>DGSP_ChiTiet!AE72</f>
        <v>22899.599999999999</v>
      </c>
      <c r="I91" s="294">
        <f>DGSP_ChiTiet!AF72</f>
        <v>18081.051040000002</v>
      </c>
      <c r="J91" s="294">
        <f>DGSP_ChiTiet!AG72</f>
        <v>23320.555835849998</v>
      </c>
      <c r="K91" s="294">
        <f>DGSP_ChiTiet!AH72</f>
        <v>2622727.3785691829</v>
      </c>
      <c r="L91" s="294">
        <f>DGSP_ChiTiet!AI72</f>
        <v>393409.10678537743</v>
      </c>
      <c r="M91" s="294">
        <f>DGSP_ChiTiet!AJ72</f>
        <v>3016136.4853545604</v>
      </c>
      <c r="N91" s="294">
        <f>DGSP_ChiTiet!AK72</f>
        <v>144516.11849999998</v>
      </c>
      <c r="O91" s="294">
        <f>DGSP_ChiTiet!AL72</f>
        <v>158718.84615384619</v>
      </c>
      <c r="P91" s="294"/>
      <c r="Q91" s="294"/>
      <c r="R91" s="294"/>
      <c r="S91" s="294"/>
      <c r="T91" s="294"/>
    </row>
    <row r="92" spans="1:20" s="83" customFormat="1" ht="16.5" customHeight="1">
      <c r="A92" s="526" t="e">
        <f>A86</f>
        <v>#REF!</v>
      </c>
      <c r="B92" s="527" t="e">
        <f>B86</f>
        <v>#REF!</v>
      </c>
      <c r="C92" s="523" t="e">
        <f>C86</f>
        <v>#REF!</v>
      </c>
      <c r="D92" s="522"/>
      <c r="E92" s="294" t="e">
        <f>DGSP_ChiTiet!#REF!</f>
        <v>#REF!</v>
      </c>
      <c r="F92" s="294" t="e">
        <f>DGSP_ChiTiet!#REF!</f>
        <v>#REF!</v>
      </c>
      <c r="G92" s="294" t="e">
        <f>DGSP_ChiTiet!#REF!</f>
        <v>#REF!</v>
      </c>
      <c r="H92" s="294" t="e">
        <f>DGSP_ChiTiet!#REF!</f>
        <v>#REF!</v>
      </c>
      <c r="I92" s="294" t="e">
        <f>DGSP_ChiTiet!#REF!</f>
        <v>#REF!</v>
      </c>
      <c r="J92" s="294" t="e">
        <f>DGSP_ChiTiet!#REF!</f>
        <v>#REF!</v>
      </c>
      <c r="K92" s="294" t="e">
        <f>DGSP_ChiTiet!#REF!</f>
        <v>#REF!</v>
      </c>
      <c r="L92" s="294" t="e">
        <f>DGSP_ChiTiet!#REF!</f>
        <v>#REF!</v>
      </c>
      <c r="M92" s="294" t="e">
        <f>DGSP_ChiTiet!#REF!</f>
        <v>#REF!</v>
      </c>
      <c r="N92" s="294" t="e">
        <f>DGSP_ChiTiet!#REF!</f>
        <v>#REF!</v>
      </c>
      <c r="O92" s="294" t="e">
        <f>DGSP_ChiTiet!#REF!</f>
        <v>#REF!</v>
      </c>
      <c r="P92" s="294"/>
      <c r="Q92" s="294"/>
      <c r="R92" s="294"/>
      <c r="S92" s="294"/>
      <c r="T92" s="294"/>
    </row>
    <row r="93" spans="1:20" s="83" customFormat="1" ht="16.5" customHeight="1">
      <c r="A93" s="1632" t="str">
        <f>DGSP_ChiTiet!B75</f>
        <v>VIII</v>
      </c>
      <c r="B93" s="1874" t="str">
        <f>DGSP_ChiTiet!C75</f>
        <v xml:space="preserve">Đăng ký biến động đất đai đối với tổ chức, tổ chức tôn giáo, tổ chức tôn giáo trực thuộc, tổ chức nước ngoài có chức năng ngoại giao, tổ chức kinh tế có vốn đầu tư nước ngoài, tổ chức nước ngoài, cá nhân nước ngoài </v>
      </c>
      <c r="C93" s="1632" t="str">
        <f>DGSP_ChiTiet!D75</f>
        <v>Hồ sơ</v>
      </c>
      <c r="D93" s="1632" t="str">
        <f>DGSP_ChiTiet!E75</f>
        <v>1-3</v>
      </c>
      <c r="E93" s="1660" t="str">
        <f>DGSP_ChiTiet!F75</f>
        <v>Đăng ký cấp GCN đối với đất</v>
      </c>
      <c r="F93" s="1660">
        <f>DGSP_ChiTiet!G75</f>
        <v>0</v>
      </c>
      <c r="G93" s="1660">
        <f>DGSP_ChiTiet!H75</f>
        <v>0</v>
      </c>
      <c r="H93" s="1660">
        <f>DGSP_ChiTiet!I75</f>
        <v>0</v>
      </c>
      <c r="I93" s="1660">
        <f>DGSP_ChiTiet!J75</f>
        <v>0</v>
      </c>
      <c r="J93" s="1660">
        <f>DGSP_ChiTiet!K75</f>
        <v>0</v>
      </c>
      <c r="K93" s="1660">
        <f>DGSP_ChiTiet!L75</f>
        <v>0</v>
      </c>
      <c r="L93" s="1660">
        <f>DGSP_ChiTiet!M75</f>
        <v>0</v>
      </c>
      <c r="M93" s="1660">
        <f>DGSP_ChiTiet!N75</f>
        <v>0</v>
      </c>
      <c r="N93" s="294">
        <f>DGSP_ChiTiet!O75</f>
        <v>0</v>
      </c>
      <c r="O93" s="294">
        <f>DGSP_ChiTiet!P75</f>
        <v>0</v>
      </c>
      <c r="P93" s="294"/>
      <c r="Q93" s="294"/>
      <c r="R93" s="294"/>
      <c r="S93" s="294"/>
      <c r="T93" s="294"/>
    </row>
    <row r="94" spans="1:20" s="83" customFormat="1" ht="16.5" customHeight="1">
      <c r="A94" s="1632"/>
      <c r="B94" s="1874"/>
      <c r="C94" s="1632"/>
      <c r="D94" s="1632"/>
      <c r="E94" s="294">
        <f>DGSP_ChiTiet!F76</f>
        <v>2610366.6419999995</v>
      </c>
      <c r="F94" s="294">
        <f>DGSP_ChiTiet!G76</f>
        <v>0</v>
      </c>
      <c r="G94" s="294">
        <f>DGSP_ChiTiet!H76</f>
        <v>17595.951229692309</v>
      </c>
      <c r="H94" s="294">
        <f>DGSP_ChiTiet!I76</f>
        <v>18337</v>
      </c>
      <c r="I94" s="294">
        <f>DGSP_ChiTiet!J76</f>
        <v>20820.4728</v>
      </c>
      <c r="J94" s="294">
        <f>DGSP_ChiTiet!K76</f>
        <v>30241.982725500002</v>
      </c>
      <c r="K94" s="294">
        <f>DGSP_ChiTiet!L76</f>
        <v>2697362.0487551922</v>
      </c>
      <c r="L94" s="294">
        <f>DGSP_ChiTiet!M76</f>
        <v>404604.30731327884</v>
      </c>
      <c r="M94" s="294">
        <f>DGSP_ChiTiet!N76</f>
        <v>3101966.356068471</v>
      </c>
      <c r="N94" s="294">
        <f>DGSP_ChiTiet!O76</f>
        <v>168827.95799999998</v>
      </c>
      <c r="O94" s="294">
        <f>DGSP_ChiTiet!P76</f>
        <v>185420</v>
      </c>
      <c r="P94" s="294"/>
      <c r="Q94" s="294"/>
      <c r="R94" s="294"/>
      <c r="S94" s="294"/>
      <c r="T94" s="294"/>
    </row>
    <row r="95" spans="1:20" s="83" customFormat="1" ht="16.5" customHeight="1">
      <c r="A95" s="1632"/>
      <c r="B95" s="1874"/>
      <c r="C95" s="1632"/>
      <c r="D95" s="1632"/>
      <c r="E95" s="1660" t="str">
        <f>DGSP_ChiTiet!Q75</f>
        <v>Đăng ký cấp GCN đối với tài sản</v>
      </c>
      <c r="F95" s="1660">
        <f>DGSP_ChiTiet!R75</f>
        <v>0</v>
      </c>
      <c r="G95" s="1660">
        <f>DGSP_ChiTiet!S75</f>
        <v>0</v>
      </c>
      <c r="H95" s="1660">
        <f>DGSP_ChiTiet!T75</f>
        <v>0</v>
      </c>
      <c r="I95" s="1660">
        <f>DGSP_ChiTiet!U75</f>
        <v>0</v>
      </c>
      <c r="J95" s="1660">
        <f>DGSP_ChiTiet!V75</f>
        <v>0</v>
      </c>
      <c r="K95" s="1660">
        <f>DGSP_ChiTiet!W75</f>
        <v>0</v>
      </c>
      <c r="L95" s="1660">
        <f>DGSP_ChiTiet!X75</f>
        <v>0</v>
      </c>
      <c r="M95" s="1660">
        <f>DGSP_ChiTiet!Y75</f>
        <v>0</v>
      </c>
      <c r="N95" s="294">
        <f>DGSP_ChiTiet!Z75</f>
        <v>0</v>
      </c>
      <c r="O95" s="294">
        <f>DGSP_ChiTiet!AA75</f>
        <v>0</v>
      </c>
      <c r="P95" s="294"/>
      <c r="Q95" s="294"/>
      <c r="R95" s="294"/>
      <c r="S95" s="294"/>
      <c r="T95" s="294"/>
    </row>
    <row r="96" spans="1:20" s="83" customFormat="1" ht="16.5" customHeight="1">
      <c r="A96" s="1632"/>
      <c r="B96" s="1874"/>
      <c r="C96" s="1632"/>
      <c r="D96" s="1632"/>
      <c r="E96" s="294">
        <f>DGSP_ChiTiet!Q76</f>
        <v>2570852.8169999993</v>
      </c>
      <c r="F96" s="294">
        <f>DGSP_ChiTiet!R76</f>
        <v>0</v>
      </c>
      <c r="G96" s="294">
        <f>DGSP_ChiTiet!S76</f>
        <v>17595.951229692309</v>
      </c>
      <c r="H96" s="294">
        <f>DGSP_ChiTiet!T76</f>
        <v>18337</v>
      </c>
      <c r="I96" s="294">
        <f>DGSP_ChiTiet!U76</f>
        <v>20820.4728</v>
      </c>
      <c r="J96" s="294">
        <f>DGSP_ChiTiet!V76</f>
        <v>30241.982725500002</v>
      </c>
      <c r="K96" s="294">
        <f>DGSP_ChiTiet!W76</f>
        <v>2657848.223755192</v>
      </c>
      <c r="L96" s="294">
        <f>DGSP_ChiTiet!X76</f>
        <v>398677.2335632788</v>
      </c>
      <c r="M96" s="294">
        <f>DGSP_ChiTiet!Y76</f>
        <v>3056525.4573184708</v>
      </c>
      <c r="N96" s="294">
        <f>DGSP_ChiTiet!Z76</f>
        <v>168291.1035</v>
      </c>
      <c r="O96" s="294">
        <f>DGSP_ChiTiet!AA76</f>
        <v>184830.38461538462</v>
      </c>
      <c r="P96" s="294"/>
      <c r="Q96" s="294"/>
      <c r="R96" s="294"/>
      <c r="S96" s="294"/>
      <c r="T96" s="294"/>
    </row>
    <row r="97" spans="1:20" s="83" customFormat="1" ht="33" customHeight="1">
      <c r="A97" s="1632"/>
      <c r="B97" s="1874"/>
      <c r="C97" s="1632"/>
      <c r="D97" s="1632"/>
      <c r="E97" s="1660" t="str">
        <f>DGSP_ChiTiet!AB75</f>
        <v>Đăng ký cấp GCN đối với đất và tài sản</v>
      </c>
      <c r="F97" s="1660">
        <f>DGSP_ChiTiet!AC75</f>
        <v>0</v>
      </c>
      <c r="G97" s="1660">
        <f>DGSP_ChiTiet!AD75</f>
        <v>0</v>
      </c>
      <c r="H97" s="1660">
        <f>DGSP_ChiTiet!AE75</f>
        <v>0</v>
      </c>
      <c r="I97" s="1660">
        <f>DGSP_ChiTiet!AF75</f>
        <v>0</v>
      </c>
      <c r="J97" s="1660">
        <f>DGSP_ChiTiet!AG75</f>
        <v>0</v>
      </c>
      <c r="K97" s="1660">
        <f>DGSP_ChiTiet!AH75</f>
        <v>0</v>
      </c>
      <c r="L97" s="1660">
        <f>DGSP_ChiTiet!AI75</f>
        <v>0</v>
      </c>
      <c r="M97" s="1660">
        <f>DGSP_ChiTiet!AJ75</f>
        <v>0</v>
      </c>
      <c r="N97" s="294">
        <f>DGSP_ChiTiet!AK75</f>
        <v>0</v>
      </c>
      <c r="O97" s="294">
        <f>DGSP_ChiTiet!AL75</f>
        <v>0</v>
      </c>
      <c r="P97" s="294"/>
      <c r="Q97" s="294"/>
      <c r="R97" s="294"/>
      <c r="S97" s="294"/>
      <c r="T97" s="294"/>
    </row>
    <row r="98" spans="1:20" s="83" customFormat="1" ht="16.5" customHeight="1">
      <c r="A98" s="1632"/>
      <c r="B98" s="1874"/>
      <c r="C98" s="1632"/>
      <c r="D98" s="1632"/>
      <c r="E98" s="294">
        <f>DGSP_ChiTiet!AB76</f>
        <v>3284705.9114999995</v>
      </c>
      <c r="F98" s="294">
        <f>DGSP_ChiTiet!AC76</f>
        <v>0</v>
      </c>
      <c r="G98" s="294">
        <f>DGSP_ChiTiet!AD76</f>
        <v>22874.736598600004</v>
      </c>
      <c r="H98" s="294">
        <f>DGSP_ChiTiet!AE76</f>
        <v>23838.100000000002</v>
      </c>
      <c r="I98" s="294">
        <f>DGSP_ChiTiet!AF76</f>
        <v>27066.61464</v>
      </c>
      <c r="J98" s="294">
        <f>DGSP_ChiTiet!AG76</f>
        <v>39314.577543150008</v>
      </c>
      <c r="K98" s="294">
        <f>DGSP_ChiTiet!AH76</f>
        <v>3397799.9402817497</v>
      </c>
      <c r="L98" s="294">
        <f>DGSP_ChiTiet!AI76</f>
        <v>509669.99104226241</v>
      </c>
      <c r="M98" s="294">
        <f>DGSP_ChiTiet!AJ76</f>
        <v>3907469.9313240121</v>
      </c>
      <c r="N98" s="294">
        <f>DGSP_ChiTiet!AK76</f>
        <v>216608.0085</v>
      </c>
      <c r="O98" s="294">
        <f>DGSP_ChiTiet!AL76</f>
        <v>237895.76923076922</v>
      </c>
      <c r="P98" s="294"/>
      <c r="Q98" s="294"/>
      <c r="R98" s="294"/>
      <c r="S98" s="294"/>
      <c r="T98" s="294"/>
    </row>
    <row r="99" spans="1:20" s="86" customFormat="1" ht="16.5" customHeight="1">
      <c r="A99" s="523" t="str">
        <f>DGSP_ChiTiet!B79</f>
        <v>IX</v>
      </c>
      <c r="B99" s="525" t="str">
        <f>DGSP_ChiTiet!C79</f>
        <v>TRÍCH LỤC HỒ SƠ ĐỊA CHÍNH</v>
      </c>
      <c r="C99" s="523" t="str">
        <f>DGSP_ChiTiet!D79</f>
        <v>Hồ sơ</v>
      </c>
      <c r="D99" s="523">
        <f>DGSP_ChiTiet!E79</f>
        <v>1</v>
      </c>
      <c r="E99" s="294">
        <f>DGSP_ChiTiet!F79</f>
        <v>59354.100000000006</v>
      </c>
      <c r="F99" s="294">
        <f>DGSP_ChiTiet!G79</f>
        <v>0</v>
      </c>
      <c r="G99" s="294">
        <f>DGSP_ChiTiet!H79</f>
        <v>976.95772709790219</v>
      </c>
      <c r="H99" s="294">
        <f>DGSP_ChiTiet!I79</f>
        <v>15597</v>
      </c>
      <c r="I99" s="294">
        <f>DGSP_ChiTiet!J79</f>
        <v>2433.2399999999998</v>
      </c>
      <c r="J99" s="294">
        <f>DGSP_ChiTiet!K79</f>
        <v>4809.2709210000012</v>
      </c>
      <c r="K99" s="294">
        <f>DGSP_ChiTiet!L79</f>
        <v>83170.56864809792</v>
      </c>
      <c r="L99" s="294">
        <f>DGSP_ChiTiet!M79</f>
        <v>12475.585297214688</v>
      </c>
      <c r="M99" s="294">
        <f>DGSP_ChiTiet!N79</f>
        <v>95646.153945312602</v>
      </c>
      <c r="N99" s="294">
        <f>DGSP_ChiTiet!O79</f>
        <v>5112.9000000000005</v>
      </c>
      <c r="O99" s="294">
        <f>DGSP_ChiTiet!P79</f>
        <v>5615.3846153846162</v>
      </c>
      <c r="P99" s="294"/>
      <c r="Q99" s="294"/>
      <c r="R99" s="294"/>
      <c r="S99" s="294"/>
      <c r="T99" s="294"/>
    </row>
    <row r="100" spans="1:20" ht="16.5" customHeight="1">
      <c r="A100" s="523"/>
      <c r="B100" s="525"/>
      <c r="C100" s="523"/>
      <c r="D100" s="523"/>
      <c r="E100" s="525"/>
      <c r="F100" s="525"/>
      <c r="G100" s="525"/>
      <c r="H100" s="525"/>
      <c r="I100" s="525"/>
      <c r="J100" s="525"/>
      <c r="K100" s="525"/>
      <c r="L100" s="525"/>
      <c r="M100" s="525"/>
      <c r="N100" s="525"/>
      <c r="O100" s="525"/>
      <c r="P100" s="294"/>
      <c r="Q100" s="294"/>
      <c r="R100" s="294"/>
      <c r="S100" s="294"/>
      <c r="T100" s="294"/>
    </row>
    <row r="101" spans="1:20">
      <c r="A101" s="84">
        <f>DGSP_ChiTiet!B85</f>
        <v>0</v>
      </c>
      <c r="B101" s="85">
        <f>DGSP_ChiTiet!C85</f>
        <v>0</v>
      </c>
      <c r="C101" s="84">
        <f>DGSP_ChiTiet!D85</f>
        <v>0</v>
      </c>
      <c r="D101" s="84">
        <f>DGSP_ChiTiet!E85</f>
        <v>0</v>
      </c>
      <c r="E101" s="85">
        <f>DGSP_ChiTiet!F85</f>
        <v>0</v>
      </c>
      <c r="F101" s="85">
        <f>DGSP_ChiTiet!G85</f>
        <v>0</v>
      </c>
      <c r="G101" s="85">
        <f>DGSP_ChiTiet!H85</f>
        <v>0</v>
      </c>
      <c r="H101" s="85">
        <f>DGSP_ChiTiet!I85</f>
        <v>0</v>
      </c>
      <c r="I101" s="85">
        <f>DGSP_ChiTiet!J85</f>
        <v>0</v>
      </c>
      <c r="J101" s="85">
        <f>DGSP_ChiTiet!K85</f>
        <v>0</v>
      </c>
      <c r="K101" s="85">
        <f>DGSP_ChiTiet!L85</f>
        <v>0</v>
      </c>
      <c r="L101" s="85">
        <f>DGSP_ChiTiet!M85</f>
        <v>0</v>
      </c>
      <c r="M101" s="85">
        <f>DGSP_ChiTiet!N85</f>
        <v>0</v>
      </c>
      <c r="N101" s="85">
        <f>DGSP_ChiTiet!O85</f>
        <v>0</v>
      </c>
      <c r="O101" s="85">
        <f>DGSP_ChiTiet!P85</f>
        <v>0</v>
      </c>
    </row>
    <row r="102" spans="1:20">
      <c r="A102" s="84">
        <f>DGSP_ChiTiet!B86</f>
        <v>0</v>
      </c>
      <c r="B102" s="85">
        <f>DGSP_ChiTiet!C86</f>
        <v>0</v>
      </c>
      <c r="C102" s="84">
        <f>DGSP_ChiTiet!D86</f>
        <v>0</v>
      </c>
      <c r="D102" s="84">
        <f>DGSP_ChiTiet!E86</f>
        <v>0</v>
      </c>
      <c r="E102" s="85">
        <f>DGSP_ChiTiet!F86</f>
        <v>0</v>
      </c>
      <c r="F102" s="85">
        <f>DGSP_ChiTiet!G86</f>
        <v>0</v>
      </c>
      <c r="G102" s="85">
        <f>DGSP_ChiTiet!H86</f>
        <v>0</v>
      </c>
      <c r="H102" s="85">
        <f>DGSP_ChiTiet!I86</f>
        <v>0</v>
      </c>
      <c r="I102" s="85">
        <f>DGSP_ChiTiet!J86</f>
        <v>0</v>
      </c>
      <c r="J102" s="85">
        <f>DGSP_ChiTiet!K86</f>
        <v>0</v>
      </c>
      <c r="K102" s="85">
        <f>DGSP_ChiTiet!L86</f>
        <v>0</v>
      </c>
      <c r="L102" s="85">
        <f>DGSP_ChiTiet!M86</f>
        <v>0</v>
      </c>
      <c r="M102" s="85">
        <f>DGSP_ChiTiet!N86</f>
        <v>0</v>
      </c>
      <c r="N102" s="85">
        <f>DGSP_ChiTiet!O86</f>
        <v>0</v>
      </c>
      <c r="O102" s="85">
        <f>DGSP_ChiTiet!P86</f>
        <v>0</v>
      </c>
    </row>
  </sheetData>
  <mergeCells count="84">
    <mergeCell ref="P4:P6"/>
    <mergeCell ref="Q4:R4"/>
    <mergeCell ref="S4:S6"/>
    <mergeCell ref="E84:M84"/>
    <mergeCell ref="E87:M87"/>
    <mergeCell ref="E36:M36"/>
    <mergeCell ref="E25:M25"/>
    <mergeCell ref="E14:M14"/>
    <mergeCell ref="N4:N5"/>
    <mergeCell ref="O4:O6"/>
    <mergeCell ref="E4:E6"/>
    <mergeCell ref="F4:F6"/>
    <mergeCell ref="G4:G6"/>
    <mergeCell ref="J4:J6"/>
    <mergeCell ref="E90:M90"/>
    <mergeCell ref="A93:A98"/>
    <mergeCell ref="B93:B98"/>
    <mergeCell ref="C93:C98"/>
    <mergeCell ref="D93:D98"/>
    <mergeCell ref="E93:M93"/>
    <mergeCell ref="E95:M95"/>
    <mergeCell ref="E97:M97"/>
    <mergeCell ref="A78:A83"/>
    <mergeCell ref="B78:B83"/>
    <mergeCell ref="C78:C83"/>
    <mergeCell ref="D78:D83"/>
    <mergeCell ref="E78:M78"/>
    <mergeCell ref="E80:M80"/>
    <mergeCell ref="E82:M82"/>
    <mergeCell ref="A72:A77"/>
    <mergeCell ref="B72:B77"/>
    <mergeCell ref="C72:C77"/>
    <mergeCell ref="D72:D77"/>
    <mergeCell ref="E72:M72"/>
    <mergeCell ref="E74:M74"/>
    <mergeCell ref="E76:M76"/>
    <mergeCell ref="A65:A67"/>
    <mergeCell ref="B65:B67"/>
    <mergeCell ref="C65:C67"/>
    <mergeCell ref="A68:A71"/>
    <mergeCell ref="B68:B71"/>
    <mergeCell ref="C68:C71"/>
    <mergeCell ref="A47:A64"/>
    <mergeCell ref="B47:B64"/>
    <mergeCell ref="C47:C64"/>
    <mergeCell ref="E47:M47"/>
    <mergeCell ref="E53:M53"/>
    <mergeCell ref="E59:M59"/>
    <mergeCell ref="A37:A41"/>
    <mergeCell ref="B37:B41"/>
    <mergeCell ref="C37:C41"/>
    <mergeCell ref="A42:A46"/>
    <mergeCell ref="B42:B46"/>
    <mergeCell ref="C42:C46"/>
    <mergeCell ref="A26:A30"/>
    <mergeCell ref="B26:B30"/>
    <mergeCell ref="C26:C30"/>
    <mergeCell ref="A31:A35"/>
    <mergeCell ref="B31:B35"/>
    <mergeCell ref="C31:C35"/>
    <mergeCell ref="D4:D6"/>
    <mergeCell ref="A7:A9"/>
    <mergeCell ref="A15:A19"/>
    <mergeCell ref="B15:B19"/>
    <mergeCell ref="C15:C19"/>
    <mergeCell ref="C7:C9"/>
    <mergeCell ref="B4:B6"/>
    <mergeCell ref="C4:C6"/>
    <mergeCell ref="A20:A24"/>
    <mergeCell ref="B20:B24"/>
    <mergeCell ref="C20:C24"/>
    <mergeCell ref="A1:T1"/>
    <mergeCell ref="K4:K6"/>
    <mergeCell ref="L4:L5"/>
    <mergeCell ref="M4:M6"/>
    <mergeCell ref="A2:N2"/>
    <mergeCell ref="A10:A13"/>
    <mergeCell ref="B10:B13"/>
    <mergeCell ref="C10:C13"/>
    <mergeCell ref="H4:H6"/>
    <mergeCell ref="I4:I6"/>
    <mergeCell ref="J3:L3"/>
    <mergeCell ref="A4:A6"/>
    <mergeCell ref="B7:B9"/>
  </mergeCells>
  <printOptions horizontalCentered="1"/>
  <pageMargins left="0.7" right="0.7" top="0.75" bottom="0.75" header="0.3" footer="0.3"/>
  <pageSetup paperSize="9" fitToWidth="0" orientation="landscape"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theme="9"/>
  </sheetPr>
  <dimension ref="A1:H63"/>
  <sheetViews>
    <sheetView showZeros="0" topLeftCell="A37" zoomScaleNormal="100" workbookViewId="0">
      <selection activeCell="D64" sqref="D64"/>
    </sheetView>
  </sheetViews>
  <sheetFormatPr defaultColWidth="9" defaultRowHeight="15.75"/>
  <cols>
    <col min="1" max="1" width="7.88671875" style="38" customWidth="1"/>
    <col min="2" max="2" width="23.44140625" style="5" customWidth="1"/>
    <col min="3" max="3" width="8.6640625" style="38" customWidth="1"/>
    <col min="4" max="4" width="8.77734375" style="5" customWidth="1"/>
    <col min="5" max="5" width="9.21875" style="5" bestFit="1" customWidth="1"/>
    <col min="6" max="6" width="12.21875" style="194" bestFit="1" customWidth="1"/>
    <col min="7" max="7" width="14.21875" style="40" customWidth="1"/>
    <col min="8" max="8" width="10.21875" style="5" bestFit="1" customWidth="1"/>
    <col min="9" max="16384" width="9" style="5"/>
  </cols>
  <sheetData>
    <row r="1" spans="1:8" ht="47.25" customHeight="1">
      <c r="A1" s="1374" t="s">
        <v>559</v>
      </c>
      <c r="B1" s="1374"/>
      <c r="C1" s="1374"/>
      <c r="D1" s="1374"/>
      <c r="E1" s="1374"/>
      <c r="F1" s="1374"/>
      <c r="G1" s="1374"/>
      <c r="H1" s="1374"/>
    </row>
    <row r="3" spans="1:8">
      <c r="A3" s="173" t="s">
        <v>26</v>
      </c>
      <c r="B3" s="15" t="s">
        <v>382</v>
      </c>
      <c r="F3" s="39"/>
      <c r="G3" s="5"/>
      <c r="H3" s="188" t="s">
        <v>360</v>
      </c>
    </row>
    <row r="4" spans="1:8" s="174" customFormat="1" ht="31.15" customHeight="1">
      <c r="A4" s="980" t="s">
        <v>24</v>
      </c>
      <c r="B4" s="980" t="s">
        <v>2</v>
      </c>
      <c r="C4" s="980" t="s">
        <v>39</v>
      </c>
      <c r="D4" s="980" t="s">
        <v>112</v>
      </c>
      <c r="E4" s="980" t="s">
        <v>114</v>
      </c>
      <c r="F4" s="980" t="s">
        <v>28</v>
      </c>
      <c r="G4" s="1382" t="s">
        <v>15</v>
      </c>
      <c r="H4" s="1382"/>
    </row>
    <row r="5" spans="1:8" ht="18.75" customHeight="1">
      <c r="A5" s="444">
        <v>1</v>
      </c>
      <c r="B5" s="981" t="s">
        <v>365</v>
      </c>
      <c r="C5" s="838" t="s">
        <v>366</v>
      </c>
      <c r="D5" s="838">
        <v>36</v>
      </c>
      <c r="E5" s="1293">
        <f>VLOOKUP(B5,'Chung-thu'!B:J,9,0)</f>
        <v>210000</v>
      </c>
      <c r="F5" s="982">
        <f>E5/D5/26</f>
        <v>224.35897435897434</v>
      </c>
      <c r="G5" s="1379"/>
      <c r="H5" s="1379"/>
    </row>
    <row r="6" spans="1:8" ht="18.75" customHeight="1">
      <c r="A6" s="444">
        <v>2</v>
      </c>
      <c r="B6" s="983" t="s">
        <v>367</v>
      </c>
      <c r="C6" s="838" t="s">
        <v>366</v>
      </c>
      <c r="D6" s="838">
        <v>96</v>
      </c>
      <c r="E6" s="1293">
        <f>VLOOKUP(B6,'Chung-thu'!B:J,9,0)</f>
        <v>568000</v>
      </c>
      <c r="F6" s="982">
        <f t="shared" ref="F6:F20" si="0">E6/D6/26</f>
        <v>227.56410256410257</v>
      </c>
      <c r="G6" s="1379"/>
      <c r="H6" s="1379"/>
    </row>
    <row r="7" spans="1:8" ht="18.75" customHeight="1">
      <c r="A7" s="444">
        <v>3</v>
      </c>
      <c r="B7" s="981" t="s">
        <v>49</v>
      </c>
      <c r="C7" s="838" t="s">
        <v>366</v>
      </c>
      <c r="D7" s="838">
        <v>96</v>
      </c>
      <c r="E7" s="1293">
        <f>VLOOKUP(B7,'Chung-thu'!B:J,9,0)</f>
        <v>1620000</v>
      </c>
      <c r="F7" s="982">
        <f t="shared" si="0"/>
        <v>649.03846153846155</v>
      </c>
      <c r="G7" s="1379"/>
      <c r="H7" s="1379"/>
    </row>
    <row r="8" spans="1:8" ht="18.75" customHeight="1">
      <c r="A8" s="444">
        <v>4</v>
      </c>
      <c r="B8" s="981" t="s">
        <v>368</v>
      </c>
      <c r="C8" s="838" t="s">
        <v>366</v>
      </c>
      <c r="D8" s="838">
        <v>96</v>
      </c>
      <c r="E8" s="1293">
        <f>'Chung-thu'!J6</f>
        <v>3500000</v>
      </c>
      <c r="F8" s="982">
        <f t="shared" si="0"/>
        <v>1402.2435897435898</v>
      </c>
      <c r="G8" s="1379"/>
      <c r="H8" s="1379"/>
    </row>
    <row r="9" spans="1:8" ht="18.75" customHeight="1">
      <c r="A9" s="444">
        <v>6</v>
      </c>
      <c r="B9" s="981" t="s">
        <v>369</v>
      </c>
      <c r="C9" s="838" t="s">
        <v>366</v>
      </c>
      <c r="D9" s="838">
        <v>24</v>
      </c>
      <c r="E9" s="1293">
        <f>'Chung-thu'!J171</f>
        <v>17000</v>
      </c>
      <c r="F9" s="982">
        <f t="shared" si="0"/>
        <v>27.243589743589745</v>
      </c>
      <c r="G9" s="1379"/>
      <c r="H9" s="1379"/>
    </row>
    <row r="10" spans="1:8" ht="18.75" customHeight="1">
      <c r="A10" s="444">
        <v>7</v>
      </c>
      <c r="B10" s="981" t="s">
        <v>370</v>
      </c>
      <c r="C10" s="838" t="s">
        <v>366</v>
      </c>
      <c r="D10" s="838">
        <v>36</v>
      </c>
      <c r="E10" s="1293">
        <f>'Chung-thu'!J18</f>
        <v>715000</v>
      </c>
      <c r="F10" s="982">
        <f t="shared" si="0"/>
        <v>763.8888888888888</v>
      </c>
      <c r="G10" s="1379"/>
      <c r="H10" s="1379"/>
    </row>
    <row r="11" spans="1:8" ht="18.75" customHeight="1">
      <c r="A11" s="444">
        <v>8</v>
      </c>
      <c r="B11" s="981" t="s">
        <v>371</v>
      </c>
      <c r="C11" s="838" t="s">
        <v>366</v>
      </c>
      <c r="D11" s="838">
        <v>12</v>
      </c>
      <c r="E11" s="1293">
        <f>VLOOKUP(B11,'Chung-thu'!B:J,9,0)</f>
        <v>1125000</v>
      </c>
      <c r="F11" s="982">
        <f t="shared" si="0"/>
        <v>3605.7692307692309</v>
      </c>
      <c r="G11" s="1379"/>
      <c r="H11" s="1379"/>
    </row>
    <row r="12" spans="1:8" ht="18.75" customHeight="1">
      <c r="A12" s="444">
        <v>10</v>
      </c>
      <c r="B12" s="981" t="s">
        <v>372</v>
      </c>
      <c r="C12" s="838" t="s">
        <v>366</v>
      </c>
      <c r="D12" s="838">
        <v>12</v>
      </c>
      <c r="E12" s="1293">
        <f>VLOOKUP(B12,'Chung-thu'!B:J,9,0)</f>
        <v>15000</v>
      </c>
      <c r="F12" s="982">
        <f t="shared" si="0"/>
        <v>48.07692307692308</v>
      </c>
      <c r="G12" s="1379"/>
      <c r="H12" s="1379"/>
    </row>
    <row r="13" spans="1:8" ht="18.75" customHeight="1">
      <c r="A13" s="444">
        <v>11</v>
      </c>
      <c r="B13" s="981" t="s">
        <v>373</v>
      </c>
      <c r="C13" s="838" t="s">
        <v>366</v>
      </c>
      <c r="D13" s="838">
        <v>12</v>
      </c>
      <c r="E13" s="1293">
        <f>VLOOKUP(B13,'Chung-thu'!B:J,9,0)</f>
        <v>530000</v>
      </c>
      <c r="F13" s="982">
        <f t="shared" si="0"/>
        <v>1698.7179487179487</v>
      </c>
      <c r="G13" s="1379"/>
      <c r="H13" s="1379"/>
    </row>
    <row r="14" spans="1:8" ht="18.75" customHeight="1">
      <c r="A14" s="444">
        <v>12</v>
      </c>
      <c r="B14" s="981" t="s">
        <v>374</v>
      </c>
      <c r="C14" s="838" t="s">
        <v>366</v>
      </c>
      <c r="D14" s="838">
        <v>9</v>
      </c>
      <c r="E14" s="1293">
        <f>VLOOKUP(B14,'Chung-thu'!B:J,9,0)</f>
        <v>30000</v>
      </c>
      <c r="F14" s="982">
        <f t="shared" si="0"/>
        <v>128.2051282051282</v>
      </c>
      <c r="G14" s="1379"/>
      <c r="H14" s="1379"/>
    </row>
    <row r="15" spans="1:8" ht="18.75" customHeight="1">
      <c r="A15" s="444">
        <v>13</v>
      </c>
      <c r="B15" s="981" t="s">
        <v>375</v>
      </c>
      <c r="C15" s="838" t="s">
        <v>366</v>
      </c>
      <c r="D15" s="838">
        <v>12</v>
      </c>
      <c r="E15" s="1293">
        <f>VLOOKUP(B15,'Chung-thu'!B:J,9,0)</f>
        <v>185000</v>
      </c>
      <c r="F15" s="982">
        <f t="shared" si="0"/>
        <v>592.9487179487179</v>
      </c>
      <c r="G15" s="1379"/>
      <c r="H15" s="1379"/>
    </row>
    <row r="16" spans="1:8" ht="18.75" customHeight="1">
      <c r="A16" s="444">
        <v>15</v>
      </c>
      <c r="B16" s="984" t="s">
        <v>501</v>
      </c>
      <c r="C16" s="838" t="s">
        <v>366</v>
      </c>
      <c r="D16" s="838">
        <v>96</v>
      </c>
      <c r="E16" s="1293">
        <f>'Chung-thu'!J43</f>
        <v>430000</v>
      </c>
      <c r="F16" s="982">
        <f t="shared" si="0"/>
        <v>172.27564102564105</v>
      </c>
      <c r="G16" s="1379"/>
      <c r="H16" s="1379"/>
    </row>
    <row r="17" spans="1:8" ht="18.75" customHeight="1">
      <c r="A17" s="444">
        <v>16</v>
      </c>
      <c r="B17" s="981" t="s">
        <v>481</v>
      </c>
      <c r="C17" s="838" t="s">
        <v>366</v>
      </c>
      <c r="D17" s="838">
        <v>24</v>
      </c>
      <c r="E17" s="1293">
        <f>VLOOKUP(B17,'Chung-thu'!B:J,9,0)</f>
        <v>116363.63636363635</v>
      </c>
      <c r="F17" s="982">
        <f t="shared" si="0"/>
        <v>186.48018648018646</v>
      </c>
      <c r="G17" s="1379"/>
      <c r="H17" s="1379"/>
    </row>
    <row r="18" spans="1:8" ht="18.75" customHeight="1">
      <c r="A18" s="444">
        <v>17</v>
      </c>
      <c r="B18" s="981" t="s">
        <v>377</v>
      </c>
      <c r="C18" s="838" t="s">
        <v>366</v>
      </c>
      <c r="D18" s="838">
        <v>12</v>
      </c>
      <c r="E18" s="1293">
        <f>VLOOKUP(B18,'Chung-thu'!B:J,9,0)</f>
        <v>85000</v>
      </c>
      <c r="F18" s="982">
        <f t="shared" si="0"/>
        <v>272.4358974358974</v>
      </c>
      <c r="G18" s="1379"/>
      <c r="H18" s="1379"/>
    </row>
    <row r="19" spans="1:8" ht="18.75" customHeight="1">
      <c r="A19" s="444">
        <v>18</v>
      </c>
      <c r="B19" s="981" t="s">
        <v>378</v>
      </c>
      <c r="C19" s="838" t="s">
        <v>366</v>
      </c>
      <c r="D19" s="838">
        <v>36</v>
      </c>
      <c r="E19" s="1293">
        <f>'Chung-thu'!J21</f>
        <v>795000</v>
      </c>
      <c r="F19" s="982">
        <f t="shared" si="0"/>
        <v>849.35897435897436</v>
      </c>
      <c r="G19" s="1379"/>
      <c r="H19" s="1379"/>
    </row>
    <row r="20" spans="1:8" ht="18.75" customHeight="1">
      <c r="A20" s="444">
        <v>19</v>
      </c>
      <c r="B20" s="981" t="s">
        <v>379</v>
      </c>
      <c r="C20" s="838" t="s">
        <v>380</v>
      </c>
      <c r="D20" s="838">
        <v>30</v>
      </c>
      <c r="E20" s="1293">
        <f>'Chung-thu'!J10</f>
        <v>212000</v>
      </c>
      <c r="F20" s="982">
        <f t="shared" si="0"/>
        <v>271.79487179487182</v>
      </c>
      <c r="G20" s="1379"/>
      <c r="H20" s="1379"/>
    </row>
    <row r="21" spans="1:8" ht="18.75" customHeight="1">
      <c r="A21" s="444">
        <v>20</v>
      </c>
      <c r="B21" s="981" t="s">
        <v>18</v>
      </c>
      <c r="C21" s="838" t="s">
        <v>381</v>
      </c>
      <c r="D21" s="985">
        <v>1</v>
      </c>
      <c r="E21" s="1293">
        <f>'Chung-thu'!J174</f>
        <v>2204.0655000000002</v>
      </c>
      <c r="F21" s="982">
        <f>D21*E21</f>
        <v>2204.0655000000002</v>
      </c>
      <c r="G21" s="1379"/>
      <c r="H21" s="1379"/>
    </row>
    <row r="22" spans="1:8" s="6" customFormat="1">
      <c r="A22" s="444"/>
      <c r="B22" s="445"/>
      <c r="C22" s="444"/>
      <c r="D22" s="445"/>
      <c r="E22" s="445"/>
      <c r="F22" s="499"/>
      <c r="G22" s="1379"/>
      <c r="H22" s="1379"/>
    </row>
    <row r="24" spans="1:8" ht="16.5" thickBot="1">
      <c r="A24" s="173" t="s">
        <v>107</v>
      </c>
      <c r="B24" s="15" t="s">
        <v>387</v>
      </c>
      <c r="F24" s="39"/>
      <c r="G24" s="5"/>
      <c r="H24" s="188" t="s">
        <v>360</v>
      </c>
    </row>
    <row r="25" spans="1:8" ht="47.25">
      <c r="A25" s="20" t="s">
        <v>24</v>
      </c>
      <c r="B25" s="21" t="s">
        <v>30</v>
      </c>
      <c r="C25" s="21" t="s">
        <v>39</v>
      </c>
      <c r="D25" s="21" t="s">
        <v>4</v>
      </c>
      <c r="E25" s="21" t="s">
        <v>5</v>
      </c>
      <c r="F25" s="21" t="s">
        <v>31</v>
      </c>
      <c r="G25" s="21" t="s">
        <v>0</v>
      </c>
      <c r="H25" s="22" t="s">
        <v>15</v>
      </c>
    </row>
    <row r="26" spans="1:8" ht="21" customHeight="1">
      <c r="A26" s="14">
        <v>1</v>
      </c>
      <c r="B26" s="7" t="s">
        <v>115</v>
      </c>
      <c r="C26" s="8" t="s">
        <v>48</v>
      </c>
      <c r="D26" s="8">
        <v>0.4</v>
      </c>
      <c r="E26" s="8">
        <v>5</v>
      </c>
      <c r="F26" s="1293">
        <f>'Chung-thu'!J98</f>
        <v>33480000</v>
      </c>
      <c r="G26" s="52">
        <f t="shared" ref="G26:G34" si="1">F26/E26/500</f>
        <v>13392</v>
      </c>
      <c r="H26" s="17" t="s">
        <v>409</v>
      </c>
    </row>
    <row r="27" spans="1:8" ht="21" customHeight="1">
      <c r="A27" s="14">
        <v>2</v>
      </c>
      <c r="B27" s="7" t="s">
        <v>383</v>
      </c>
      <c r="C27" s="8" t="s">
        <v>48</v>
      </c>
      <c r="D27" s="8">
        <v>0.6</v>
      </c>
      <c r="E27" s="8">
        <v>10</v>
      </c>
      <c r="F27" s="1293">
        <f>'Chung-thu'!J85</f>
        <v>9150000</v>
      </c>
      <c r="G27" s="52">
        <f>F27/E27/500</f>
        <v>1830</v>
      </c>
      <c r="H27" s="17" t="s">
        <v>409</v>
      </c>
    </row>
    <row r="28" spans="1:8" ht="21" customHeight="1">
      <c r="A28" s="14">
        <v>3</v>
      </c>
      <c r="B28" s="7" t="s">
        <v>385</v>
      </c>
      <c r="C28" s="8" t="s">
        <v>48</v>
      </c>
      <c r="D28" s="8">
        <v>0.6</v>
      </c>
      <c r="E28" s="8">
        <v>10</v>
      </c>
      <c r="F28" s="1293">
        <f>'Chung-thu'!J84</f>
        <v>25499000</v>
      </c>
      <c r="G28" s="52">
        <f t="shared" si="1"/>
        <v>5099.8</v>
      </c>
      <c r="H28" s="17" t="s">
        <v>409</v>
      </c>
    </row>
    <row r="29" spans="1:8" ht="21" customHeight="1">
      <c r="A29" s="14">
        <v>4</v>
      </c>
      <c r="B29" s="7" t="s">
        <v>507</v>
      </c>
      <c r="C29" s="8" t="s">
        <v>48</v>
      </c>
      <c r="D29" s="8">
        <v>0.6</v>
      </c>
      <c r="E29" s="8">
        <v>10</v>
      </c>
      <c r="F29" s="1293">
        <f>VLOOKUP(B29,'Chung-thu'!B:J,9,0)</f>
        <v>173687000</v>
      </c>
      <c r="G29" s="52">
        <f t="shared" si="1"/>
        <v>34737.4</v>
      </c>
      <c r="H29" s="17" t="s">
        <v>409</v>
      </c>
    </row>
    <row r="30" spans="1:8" ht="21" customHeight="1">
      <c r="A30" s="14">
        <v>5</v>
      </c>
      <c r="B30" s="284" t="s">
        <v>386</v>
      </c>
      <c r="C30" s="8" t="s">
        <v>48</v>
      </c>
      <c r="D30" s="8">
        <v>0.6</v>
      </c>
      <c r="E30" s="8">
        <v>10</v>
      </c>
      <c r="F30" s="1293">
        <f>'Chung-thu'!J84</f>
        <v>25499000</v>
      </c>
      <c r="G30" s="52">
        <f t="shared" si="1"/>
        <v>5099.8</v>
      </c>
      <c r="H30" s="17" t="s">
        <v>409</v>
      </c>
    </row>
    <row r="31" spans="1:8" ht="21" customHeight="1">
      <c r="A31" s="14">
        <v>6</v>
      </c>
      <c r="B31" s="7" t="s">
        <v>45</v>
      </c>
      <c r="C31" s="8" t="s">
        <v>48</v>
      </c>
      <c r="D31" s="8">
        <v>2.2000000000000002</v>
      </c>
      <c r="E31" s="8">
        <v>10</v>
      </c>
      <c r="F31" s="1293">
        <f>'Chung-thu'!J83</f>
        <v>14200000</v>
      </c>
      <c r="G31" s="52">
        <f t="shared" si="1"/>
        <v>2840</v>
      </c>
      <c r="H31" s="17" t="s">
        <v>409</v>
      </c>
    </row>
    <row r="32" spans="1:8" ht="21" customHeight="1">
      <c r="A32" s="14">
        <v>7</v>
      </c>
      <c r="B32" s="284" t="s">
        <v>44</v>
      </c>
      <c r="C32" s="8" t="s">
        <v>48</v>
      </c>
      <c r="D32" s="8">
        <v>1.5</v>
      </c>
      <c r="E32" s="8">
        <v>10</v>
      </c>
      <c r="F32" s="1293">
        <f>'Chung-thu'!J93</f>
        <v>39400000</v>
      </c>
      <c r="G32" s="52">
        <f t="shared" si="1"/>
        <v>7880</v>
      </c>
      <c r="H32" s="17" t="s">
        <v>409</v>
      </c>
    </row>
    <row r="33" spans="1:8" s="15" customFormat="1" ht="21" customHeight="1">
      <c r="A33" s="14">
        <v>8</v>
      </c>
      <c r="B33" s="7" t="s">
        <v>384</v>
      </c>
      <c r="C33" s="8" t="s">
        <v>48</v>
      </c>
      <c r="D33" s="8">
        <v>1.5</v>
      </c>
      <c r="E33" s="8">
        <v>10</v>
      </c>
      <c r="F33" s="1293">
        <f>'Chung-thu'!J82</f>
        <v>173687000</v>
      </c>
      <c r="G33" s="52">
        <f t="shared" si="1"/>
        <v>34737.4</v>
      </c>
      <c r="H33" s="17" t="s">
        <v>409</v>
      </c>
    </row>
    <row r="34" spans="1:8" s="6" customFormat="1" ht="21" customHeight="1">
      <c r="A34" s="14">
        <v>9</v>
      </c>
      <c r="B34" s="7" t="s">
        <v>412</v>
      </c>
      <c r="C34" s="8" t="s">
        <v>366</v>
      </c>
      <c r="D34" s="8">
        <v>0.4</v>
      </c>
      <c r="E34" s="8">
        <v>10</v>
      </c>
      <c r="F34" s="1293">
        <f>VLOOKUP(B34,'Chung-thu'!B:J,9,0)</f>
        <v>108900000.00000001</v>
      </c>
      <c r="G34" s="52">
        <f t="shared" si="1"/>
        <v>21780.000000000004</v>
      </c>
      <c r="H34" s="17" t="s">
        <v>409</v>
      </c>
    </row>
    <row r="35" spans="1:8" ht="21" customHeight="1">
      <c r="A35" s="14">
        <v>10</v>
      </c>
      <c r="B35" s="7" t="s">
        <v>18</v>
      </c>
      <c r="C35" s="8" t="s">
        <v>120</v>
      </c>
      <c r="D35" s="8"/>
      <c r="E35" s="55">
        <f>D21</f>
        <v>1</v>
      </c>
      <c r="F35" s="9">
        <f>'Chung-thu'!J174</f>
        <v>2204.0655000000002</v>
      </c>
      <c r="G35" s="52">
        <f>E35*F35</f>
        <v>2204.0655000000002</v>
      </c>
      <c r="H35" s="17" t="s">
        <v>119</v>
      </c>
    </row>
    <row r="36" spans="1:8" ht="21" customHeight="1">
      <c r="A36" s="46"/>
      <c r="B36" s="47"/>
      <c r="C36" s="48"/>
      <c r="D36" s="48"/>
      <c r="E36" s="48"/>
      <c r="F36" s="49"/>
      <c r="G36" s="51"/>
      <c r="H36" s="45"/>
    </row>
    <row r="38" spans="1:8" ht="16.5" thickBot="1">
      <c r="A38" s="173" t="s">
        <v>110</v>
      </c>
      <c r="B38" s="15" t="s">
        <v>388</v>
      </c>
      <c r="C38" s="173"/>
      <c r="E38" s="15"/>
      <c r="F38" s="193"/>
      <c r="G38" s="188"/>
      <c r="H38" s="188" t="s">
        <v>360</v>
      </c>
    </row>
    <row r="39" spans="1:8" ht="31.5" customHeight="1">
      <c r="A39" s="20" t="s">
        <v>24</v>
      </c>
      <c r="B39" s="21" t="s">
        <v>3</v>
      </c>
      <c r="C39" s="21" t="s">
        <v>39</v>
      </c>
      <c r="D39" s="1378" t="s">
        <v>31</v>
      </c>
      <c r="E39" s="1378"/>
      <c r="F39" s="1378"/>
      <c r="G39" s="1380" t="s">
        <v>15</v>
      </c>
      <c r="H39" s="1381"/>
    </row>
    <row r="40" spans="1:8" ht="18.75" customHeight="1">
      <c r="A40" s="199">
        <v>1</v>
      </c>
      <c r="B40" s="200" t="s">
        <v>118</v>
      </c>
      <c r="C40" s="201" t="s">
        <v>366</v>
      </c>
      <c r="D40" s="1375">
        <f>'Chung-thu'!J169</f>
        <v>35000</v>
      </c>
      <c r="E40" s="1375"/>
      <c r="F40" s="1375"/>
      <c r="G40" s="1376"/>
      <c r="H40" s="1377"/>
    </row>
    <row r="41" spans="1:8" ht="18.75" customHeight="1">
      <c r="A41" s="41">
        <v>2</v>
      </c>
      <c r="B41" s="282" t="s">
        <v>377</v>
      </c>
      <c r="C41" s="196" t="s">
        <v>366</v>
      </c>
      <c r="D41" s="1375">
        <f>VLOOKUP(B41,'Chung-thu'!B:J,9,0)</f>
        <v>85000</v>
      </c>
      <c r="E41" s="1375"/>
      <c r="F41" s="1375"/>
      <c r="G41" s="1370"/>
      <c r="H41" s="1371"/>
    </row>
    <row r="42" spans="1:8" ht="18.75" customHeight="1">
      <c r="A42" s="41">
        <v>3</v>
      </c>
      <c r="B42" s="195" t="s">
        <v>389</v>
      </c>
      <c r="C42" s="196" t="s">
        <v>390</v>
      </c>
      <c r="D42" s="1375">
        <f>VLOOKUP(B42,'Chung-thu'!B:J,9,0)</f>
        <v>3500</v>
      </c>
      <c r="E42" s="1375"/>
      <c r="F42" s="1375"/>
      <c r="G42" s="1370"/>
      <c r="H42" s="1371"/>
    </row>
    <row r="43" spans="1:8" ht="18.75" customHeight="1">
      <c r="A43" s="41">
        <v>4</v>
      </c>
      <c r="B43" s="195" t="s">
        <v>391</v>
      </c>
      <c r="C43" s="196" t="s">
        <v>390</v>
      </c>
      <c r="D43" s="1375">
        <f>VLOOKUP(B43,'Chung-thu'!B:J,9,0)</f>
        <v>3000</v>
      </c>
      <c r="E43" s="1375"/>
      <c r="F43" s="1375"/>
      <c r="G43" s="1370"/>
      <c r="H43" s="1371"/>
    </row>
    <row r="44" spans="1:8" ht="18.75" customHeight="1">
      <c r="A44" s="41">
        <v>5</v>
      </c>
      <c r="B44" s="195" t="s">
        <v>392</v>
      </c>
      <c r="C44" s="196" t="s">
        <v>390</v>
      </c>
      <c r="D44" s="1375">
        <f>'Chung-thu'!J159</f>
        <v>600000</v>
      </c>
      <c r="E44" s="1375"/>
      <c r="F44" s="1375"/>
      <c r="G44" s="1370"/>
      <c r="H44" s="1371"/>
    </row>
    <row r="45" spans="1:8" ht="18.75" customHeight="1">
      <c r="A45" s="41">
        <v>6</v>
      </c>
      <c r="B45" s="195" t="s">
        <v>393</v>
      </c>
      <c r="C45" s="196" t="s">
        <v>390</v>
      </c>
      <c r="D45" s="1375">
        <f>'Chung-thu'!J163</f>
        <v>351000</v>
      </c>
      <c r="E45" s="1375"/>
      <c r="F45" s="1375"/>
      <c r="G45" s="1370"/>
      <c r="H45" s="1371"/>
    </row>
    <row r="46" spans="1:8" ht="18.75" customHeight="1">
      <c r="A46" s="41">
        <v>7</v>
      </c>
      <c r="B46" s="195" t="s">
        <v>394</v>
      </c>
      <c r="C46" s="196" t="s">
        <v>390</v>
      </c>
      <c r="D46" s="1375">
        <f>'Chung-thu'!J158</f>
        <v>1250000</v>
      </c>
      <c r="E46" s="1375"/>
      <c r="F46" s="1375"/>
      <c r="G46" s="1370"/>
      <c r="H46" s="1371"/>
    </row>
    <row r="47" spans="1:8" ht="18.75" customHeight="1">
      <c r="A47" s="41">
        <v>8</v>
      </c>
      <c r="B47" s="282" t="s">
        <v>504</v>
      </c>
      <c r="C47" s="196" t="s">
        <v>147</v>
      </c>
      <c r="D47" s="1375">
        <f>'Chung-thu'!J154</f>
        <v>8672</v>
      </c>
      <c r="E47" s="1375"/>
      <c r="F47" s="1375"/>
      <c r="G47" s="1370"/>
      <c r="H47" s="1371"/>
    </row>
    <row r="48" spans="1:8" ht="18.75" customHeight="1">
      <c r="A48" s="41">
        <v>9</v>
      </c>
      <c r="B48" s="195" t="s">
        <v>395</v>
      </c>
      <c r="C48" s="196" t="s">
        <v>396</v>
      </c>
      <c r="D48" s="1375">
        <f>'Chung-thu'!J153</f>
        <v>64000</v>
      </c>
      <c r="E48" s="1375"/>
      <c r="F48" s="1375"/>
      <c r="G48" s="1370"/>
      <c r="H48" s="1371"/>
    </row>
    <row r="49" spans="1:8" ht="18.75" customHeight="1">
      <c r="A49" s="41">
        <v>10</v>
      </c>
      <c r="B49" s="195" t="s">
        <v>397</v>
      </c>
      <c r="C49" s="196" t="s">
        <v>396</v>
      </c>
      <c r="D49" s="1375">
        <f>VLOOKUP(B49,'Chung-thu'!B:J,9,0)</f>
        <v>132000</v>
      </c>
      <c r="E49" s="1375"/>
      <c r="F49" s="1375"/>
      <c r="G49" s="1370"/>
      <c r="H49" s="1371"/>
    </row>
    <row r="50" spans="1:8" ht="18.75" customHeight="1">
      <c r="A50" s="41">
        <v>11</v>
      </c>
      <c r="B50" s="195" t="s">
        <v>43</v>
      </c>
      <c r="C50" s="196" t="s">
        <v>398</v>
      </c>
      <c r="D50" s="1375">
        <f>VLOOKUP(B50,'Chung-thu'!B:J,9,0)</f>
        <v>10400</v>
      </c>
      <c r="E50" s="1375"/>
      <c r="F50" s="1375"/>
      <c r="G50" s="1370"/>
      <c r="H50" s="1371"/>
    </row>
    <row r="51" spans="1:8" ht="18.75" customHeight="1">
      <c r="A51" s="41">
        <v>12</v>
      </c>
      <c r="B51" s="195" t="s">
        <v>399</v>
      </c>
      <c r="C51" s="196" t="s">
        <v>366</v>
      </c>
      <c r="D51" s="1375">
        <f>VLOOKUP(B51,'Chung-thu'!B:J,9,0)</f>
        <v>20000</v>
      </c>
      <c r="E51" s="1375"/>
      <c r="F51" s="1375"/>
      <c r="G51" s="1370"/>
      <c r="H51" s="1371"/>
    </row>
    <row r="52" spans="1:8" ht="18.75" customHeight="1">
      <c r="A52" s="41">
        <v>13</v>
      </c>
      <c r="B52" s="195" t="s">
        <v>400</v>
      </c>
      <c r="C52" s="196" t="s">
        <v>366</v>
      </c>
      <c r="D52" s="1375">
        <f>VLOOKUP(B52,'Chung-thu'!B:J,9,0)</f>
        <v>40000</v>
      </c>
      <c r="E52" s="1375"/>
      <c r="F52" s="1375"/>
      <c r="G52" s="1370"/>
      <c r="H52" s="1371"/>
    </row>
    <row r="53" spans="1:8" ht="18.75" customHeight="1">
      <c r="A53" s="41">
        <v>14</v>
      </c>
      <c r="B53" s="195" t="s">
        <v>401</v>
      </c>
      <c r="C53" s="196" t="s">
        <v>402</v>
      </c>
      <c r="D53" s="1375">
        <f>'Chung-thu'!J126*2</f>
        <v>760</v>
      </c>
      <c r="E53" s="1375"/>
      <c r="F53" s="1375"/>
      <c r="G53" s="1370"/>
      <c r="H53" s="1371"/>
    </row>
    <row r="54" spans="1:8" ht="18.75" customHeight="1">
      <c r="A54" s="41">
        <v>15</v>
      </c>
      <c r="B54" s="282" t="s">
        <v>434</v>
      </c>
      <c r="C54" s="283" t="s">
        <v>147</v>
      </c>
      <c r="D54" s="1375">
        <f>'Chung-thu'!J126</f>
        <v>380</v>
      </c>
      <c r="E54" s="1375"/>
      <c r="F54" s="1375"/>
      <c r="G54" s="1370"/>
      <c r="H54" s="1371"/>
    </row>
    <row r="55" spans="1:8" ht="18.75" customHeight="1">
      <c r="A55" s="41">
        <v>16</v>
      </c>
      <c r="B55" s="280" t="s">
        <v>502</v>
      </c>
      <c r="C55" s="196" t="s">
        <v>404</v>
      </c>
      <c r="D55" s="1375">
        <f>'Chung-thu'!J114*2</f>
        <v>16000</v>
      </c>
      <c r="E55" s="1375"/>
      <c r="F55" s="1375"/>
      <c r="G55" s="1370"/>
      <c r="H55" s="1371"/>
    </row>
    <row r="56" spans="1:8" ht="18.75" customHeight="1">
      <c r="A56" s="41">
        <v>17</v>
      </c>
      <c r="B56" s="280" t="s">
        <v>503</v>
      </c>
      <c r="C56" s="196" t="s">
        <v>404</v>
      </c>
      <c r="D56" s="1375">
        <f>'Chung-thu'!J114*3</f>
        <v>24000</v>
      </c>
      <c r="E56" s="1375"/>
      <c r="F56" s="1375"/>
      <c r="G56" s="1370"/>
      <c r="H56" s="1371"/>
    </row>
    <row r="57" spans="1:8" ht="18.75" customHeight="1">
      <c r="A57" s="41">
        <v>18</v>
      </c>
      <c r="B57" s="195" t="s">
        <v>403</v>
      </c>
      <c r="C57" s="196" t="s">
        <v>404</v>
      </c>
      <c r="D57" s="1375">
        <f>VLOOKUP(B57,'Chung-thu'!B:J,9,0)</f>
        <v>8000</v>
      </c>
      <c r="E57" s="1375"/>
      <c r="F57" s="1375"/>
      <c r="G57" s="1370"/>
      <c r="H57" s="1371"/>
    </row>
    <row r="58" spans="1:8" ht="18.75" customHeight="1">
      <c r="A58" s="41">
        <v>19</v>
      </c>
      <c r="B58" s="195" t="s">
        <v>405</v>
      </c>
      <c r="C58" s="196" t="s">
        <v>366</v>
      </c>
      <c r="D58" s="1375">
        <f>VLOOKUP(B58,'Chung-thu'!B:J,9,0)</f>
        <v>2950</v>
      </c>
      <c r="E58" s="1375"/>
      <c r="F58" s="1375"/>
      <c r="G58" s="1370"/>
      <c r="H58" s="1371"/>
    </row>
    <row r="59" spans="1:8" ht="18.75" customHeight="1">
      <c r="A59" s="41">
        <v>20</v>
      </c>
      <c r="B59" s="280" t="s">
        <v>506</v>
      </c>
      <c r="C59" s="281" t="s">
        <v>366</v>
      </c>
      <c r="D59" s="1375">
        <f>'Chung-thu'!J113</f>
        <v>91000</v>
      </c>
      <c r="E59" s="1375"/>
      <c r="F59" s="1375"/>
      <c r="G59" s="1370"/>
      <c r="H59" s="1371"/>
    </row>
    <row r="60" spans="1:8" ht="32.25" customHeight="1">
      <c r="A60" s="41">
        <v>21</v>
      </c>
      <c r="B60" s="282" t="s">
        <v>505</v>
      </c>
      <c r="C60" s="196" t="s">
        <v>390</v>
      </c>
      <c r="D60" s="1375">
        <f>'Chung-thu'!J150</f>
        <v>3150000</v>
      </c>
      <c r="E60" s="1375"/>
      <c r="F60" s="1375"/>
      <c r="G60" s="1370"/>
      <c r="H60" s="1371"/>
    </row>
    <row r="61" spans="1:8" ht="18.75" customHeight="1">
      <c r="A61" s="41">
        <v>22</v>
      </c>
      <c r="B61" s="195" t="s">
        <v>407</v>
      </c>
      <c r="C61" s="196" t="s">
        <v>147</v>
      </c>
      <c r="D61" s="1375">
        <f>'Chung-thu'!J172/10</f>
        <v>19800.000000000004</v>
      </c>
      <c r="E61" s="1375"/>
      <c r="F61" s="1375"/>
      <c r="G61" s="1370"/>
      <c r="H61" s="1371"/>
    </row>
    <row r="62" spans="1:8" ht="18.75" customHeight="1">
      <c r="A62" s="41">
        <v>23</v>
      </c>
      <c r="B62" s="195" t="s">
        <v>408</v>
      </c>
      <c r="C62" s="196" t="s">
        <v>390</v>
      </c>
      <c r="D62" s="1375">
        <f>'Chung-thu'!J150</f>
        <v>3150000</v>
      </c>
      <c r="E62" s="1375"/>
      <c r="F62" s="1375"/>
      <c r="G62" s="1370"/>
      <c r="H62" s="1371"/>
    </row>
    <row r="63" spans="1:8" ht="18.75" customHeight="1" thickBot="1">
      <c r="A63" s="197">
        <v>24</v>
      </c>
      <c r="B63" s="198" t="s">
        <v>956</v>
      </c>
      <c r="C63" s="196" t="s">
        <v>147</v>
      </c>
      <c r="D63" s="1375">
        <v>1000</v>
      </c>
      <c r="E63" s="1375"/>
      <c r="F63" s="1375"/>
      <c r="G63" s="1372"/>
      <c r="H63" s="1373"/>
    </row>
  </sheetData>
  <mergeCells count="70">
    <mergeCell ref="G4:H4"/>
    <mergeCell ref="G5:H5"/>
    <mergeCell ref="G6:H6"/>
    <mergeCell ref="G7:H7"/>
    <mergeCell ref="G8:H8"/>
    <mergeCell ref="G9:H9"/>
    <mergeCell ref="G10:H10"/>
    <mergeCell ref="G11:H11"/>
    <mergeCell ref="G12:H12"/>
    <mergeCell ref="G13:H13"/>
    <mergeCell ref="G14:H14"/>
    <mergeCell ref="G15:H15"/>
    <mergeCell ref="G16:H16"/>
    <mergeCell ref="G17:H17"/>
    <mergeCell ref="G18:H18"/>
    <mergeCell ref="G19:H19"/>
    <mergeCell ref="G20:H20"/>
    <mergeCell ref="G21:H21"/>
    <mergeCell ref="G22:H22"/>
    <mergeCell ref="G39:H39"/>
    <mergeCell ref="D39:F39"/>
    <mergeCell ref="D40:F40"/>
    <mergeCell ref="D41:F41"/>
    <mergeCell ref="D42:F42"/>
    <mergeCell ref="D43:F43"/>
    <mergeCell ref="D50:F50"/>
    <mergeCell ref="D51:F51"/>
    <mergeCell ref="D44:F44"/>
    <mergeCell ref="D45:F45"/>
    <mergeCell ref="D46:F46"/>
    <mergeCell ref="D47:F47"/>
    <mergeCell ref="D48:F48"/>
    <mergeCell ref="D49:F49"/>
    <mergeCell ref="D62:F62"/>
    <mergeCell ref="D52:F52"/>
    <mergeCell ref="D53:F53"/>
    <mergeCell ref="D54:F54"/>
    <mergeCell ref="D55:F55"/>
    <mergeCell ref="D56:F56"/>
    <mergeCell ref="D57:F57"/>
    <mergeCell ref="D61:F61"/>
    <mergeCell ref="D58:F58"/>
    <mergeCell ref="D59:F59"/>
    <mergeCell ref="D60:F60"/>
    <mergeCell ref="G55:H55"/>
    <mergeCell ref="G56:H56"/>
    <mergeCell ref="G50:H50"/>
    <mergeCell ref="G48:H48"/>
    <mergeCell ref="G49:H49"/>
    <mergeCell ref="G46:H46"/>
    <mergeCell ref="G52:H52"/>
    <mergeCell ref="G53:H53"/>
    <mergeCell ref="G47:H47"/>
    <mergeCell ref="G54:H54"/>
    <mergeCell ref="G62:H62"/>
    <mergeCell ref="G63:H63"/>
    <mergeCell ref="A1:H1"/>
    <mergeCell ref="G57:H57"/>
    <mergeCell ref="G58:H58"/>
    <mergeCell ref="G59:H59"/>
    <mergeCell ref="G60:H60"/>
    <mergeCell ref="G61:H61"/>
    <mergeCell ref="G51:H51"/>
    <mergeCell ref="D63:F63"/>
    <mergeCell ref="G40:H40"/>
    <mergeCell ref="G41:H41"/>
    <mergeCell ref="G42:H42"/>
    <mergeCell ref="G43:H43"/>
    <mergeCell ref="G44:H44"/>
    <mergeCell ref="G45:H45"/>
  </mergeCells>
  <printOptions horizontalCentered="1"/>
  <pageMargins left="0.39370078740157483" right="0.23622047244094491" top="0.51181102362204722" bottom="0.51181102362204722" header="0.51181102362204722" footer="0.23622047244094491"/>
  <pageSetup paperSize="9" scale="96" firstPageNumber="51" orientation="portrait" useFirstPageNumber="1" r:id="rId1"/>
  <headerFooter alignWithMargins="0">
    <oddFooter>&amp;C&amp;P</oddFooter>
  </headerFooter>
  <ignoredErrors>
    <ignoredError sqref="E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77"/>
  <sheetViews>
    <sheetView topLeftCell="A70" workbookViewId="0">
      <selection activeCell="N39" sqref="N39"/>
    </sheetView>
  </sheetViews>
  <sheetFormatPr defaultColWidth="7.109375" defaultRowHeight="14.25"/>
  <cols>
    <col min="1" max="1" width="3.88671875" style="1239" customWidth="1"/>
    <col min="2" max="2" width="25.77734375" style="1290" customWidth="1"/>
    <col min="3" max="3" width="6.33203125" style="1239" customWidth="1"/>
    <col min="4" max="4" width="6.33203125" style="1291" customWidth="1"/>
    <col min="5" max="5" width="12" style="1291" customWidth="1"/>
    <col min="6" max="6" width="13.6640625" style="1239" customWidth="1"/>
    <col min="7" max="7" width="13.33203125" style="1239" customWidth="1"/>
    <col min="8" max="8" width="12.88671875" style="1239" customWidth="1"/>
    <col min="9" max="9" width="12.77734375" style="1264" customWidth="1"/>
    <col min="10" max="10" width="17.77734375" style="1264" customWidth="1"/>
    <col min="11" max="11" width="35.6640625" style="1248" customWidth="1"/>
    <col min="12" max="16384" width="7.109375" style="1239"/>
  </cols>
  <sheetData>
    <row r="1" spans="1:11" ht="28.5">
      <c r="A1" s="1233" t="s">
        <v>24</v>
      </c>
      <c r="B1" s="1234" t="s">
        <v>776</v>
      </c>
      <c r="C1" s="1234" t="s">
        <v>39</v>
      </c>
      <c r="D1" s="1234" t="s">
        <v>777</v>
      </c>
      <c r="E1" s="1235" t="s">
        <v>31</v>
      </c>
      <c r="F1" s="1235" t="s">
        <v>778</v>
      </c>
      <c r="G1" s="1236" t="s">
        <v>779</v>
      </c>
      <c r="H1" s="1236" t="s">
        <v>780</v>
      </c>
      <c r="I1" s="1237" t="s">
        <v>781</v>
      </c>
      <c r="J1" s="1237" t="s">
        <v>782</v>
      </c>
      <c r="K1" s="1238" t="s">
        <v>15</v>
      </c>
    </row>
    <row r="2" spans="1:11">
      <c r="A2" s="1240" t="s">
        <v>26</v>
      </c>
      <c r="B2" s="1241" t="s">
        <v>783</v>
      </c>
      <c r="C2" s="1234"/>
      <c r="D2" s="1234"/>
      <c r="E2" s="1235"/>
      <c r="F2" s="1235"/>
      <c r="G2" s="1236"/>
      <c r="H2" s="1236"/>
      <c r="I2" s="1237"/>
      <c r="J2" s="1237"/>
      <c r="K2" s="1242"/>
    </row>
    <row r="3" spans="1:11">
      <c r="A3" s="1243">
        <v>1</v>
      </c>
      <c r="B3" s="1244" t="s">
        <v>49</v>
      </c>
      <c r="C3" s="1243" t="s">
        <v>366</v>
      </c>
      <c r="D3" s="1243">
        <v>1</v>
      </c>
      <c r="E3" s="1245">
        <v>1654695</v>
      </c>
      <c r="F3" s="1246">
        <f t="shared" ref="F3:F78" si="0">E3*8%</f>
        <v>132375.6</v>
      </c>
      <c r="G3" s="1246">
        <f t="shared" ref="G3:G78" si="1">E3+F3</f>
        <v>1787070.6</v>
      </c>
      <c r="H3" s="1246">
        <f>G3*D3</f>
        <v>1787070.6</v>
      </c>
      <c r="I3" s="1247">
        <v>1620000</v>
      </c>
      <c r="J3" s="1247">
        <f>I3</f>
        <v>1620000</v>
      </c>
    </row>
    <row r="4" spans="1:11">
      <c r="A4" s="1243">
        <v>2</v>
      </c>
      <c r="B4" s="1249" t="s">
        <v>784</v>
      </c>
      <c r="C4" s="1243" t="s">
        <v>366</v>
      </c>
      <c r="D4" s="1243">
        <v>1</v>
      </c>
      <c r="E4" s="1245">
        <f>VLOOKUP($B4,'[1]DONGIA_T6.2025 (PL5)'!$B$5:$H$295,4,0)</f>
        <v>498000</v>
      </c>
      <c r="F4" s="1246">
        <f t="shared" si="0"/>
        <v>39840</v>
      </c>
      <c r="G4" s="1246">
        <f t="shared" si="1"/>
        <v>537840</v>
      </c>
      <c r="H4" s="1246">
        <f t="shared" ref="H4:H67" si="2">G4*D4</f>
        <v>537840</v>
      </c>
      <c r="I4" s="1247">
        <v>450000</v>
      </c>
      <c r="J4" s="1247">
        <f t="shared" ref="J4:J73" si="3">I4</f>
        <v>450000</v>
      </c>
    </row>
    <row r="5" spans="1:11">
      <c r="A5" s="1243">
        <v>3</v>
      </c>
      <c r="B5" s="1249" t="s">
        <v>367</v>
      </c>
      <c r="C5" s="1243" t="s">
        <v>366</v>
      </c>
      <c r="D5" s="1243">
        <v>1</v>
      </c>
      <c r="E5" s="1245">
        <v>649000</v>
      </c>
      <c r="F5" s="1246">
        <f t="shared" si="0"/>
        <v>51920</v>
      </c>
      <c r="G5" s="1246">
        <f t="shared" si="1"/>
        <v>700920</v>
      </c>
      <c r="H5" s="1246">
        <f t="shared" si="2"/>
        <v>700920</v>
      </c>
      <c r="I5" s="1247">
        <v>568000</v>
      </c>
      <c r="J5" s="1247">
        <f t="shared" si="3"/>
        <v>568000</v>
      </c>
    </row>
    <row r="6" spans="1:11">
      <c r="A6" s="1243">
        <v>4</v>
      </c>
      <c r="B6" s="1250" t="s">
        <v>785</v>
      </c>
      <c r="C6" s="1243" t="s">
        <v>366</v>
      </c>
      <c r="D6" s="1243">
        <v>1</v>
      </c>
      <c r="E6" s="1245">
        <v>3496000</v>
      </c>
      <c r="F6" s="1246">
        <f t="shared" si="0"/>
        <v>279680</v>
      </c>
      <c r="G6" s="1246">
        <f t="shared" si="1"/>
        <v>3775680</v>
      </c>
      <c r="H6" s="1246">
        <f t="shared" si="2"/>
        <v>3775680</v>
      </c>
      <c r="I6" s="1247">
        <v>3500000</v>
      </c>
      <c r="J6" s="1247">
        <f t="shared" si="3"/>
        <v>3500000</v>
      </c>
    </row>
    <row r="7" spans="1:11">
      <c r="A7" s="1243">
        <v>5</v>
      </c>
      <c r="B7" s="1250" t="s">
        <v>786</v>
      </c>
      <c r="C7" s="1243" t="s">
        <v>366</v>
      </c>
      <c r="D7" s="1243">
        <v>1</v>
      </c>
      <c r="E7" s="1245">
        <v>8700000</v>
      </c>
      <c r="F7" s="1246">
        <f t="shared" si="0"/>
        <v>696000</v>
      </c>
      <c r="G7" s="1246">
        <f t="shared" si="1"/>
        <v>9396000</v>
      </c>
      <c r="H7" s="1246">
        <f t="shared" si="2"/>
        <v>9396000</v>
      </c>
      <c r="I7" s="1247">
        <v>5600000</v>
      </c>
      <c r="J7" s="1247">
        <f t="shared" si="3"/>
        <v>5600000</v>
      </c>
    </row>
    <row r="8" spans="1:11">
      <c r="A8" s="1243">
        <v>6</v>
      </c>
      <c r="B8" s="1244" t="s">
        <v>787</v>
      </c>
      <c r="C8" s="1243" t="s">
        <v>366</v>
      </c>
      <c r="D8" s="1243">
        <v>1</v>
      </c>
      <c r="E8" s="1245">
        <f>VLOOKUP($B8,'[1]DONGIA_T6.2025 (PL5)'!$B$5:$H$295,4,0)</f>
        <v>2240000</v>
      </c>
      <c r="F8" s="1246">
        <f t="shared" si="0"/>
        <v>179200</v>
      </c>
      <c r="G8" s="1246">
        <f t="shared" si="1"/>
        <v>2419200</v>
      </c>
      <c r="H8" s="1246">
        <f t="shared" si="2"/>
        <v>2419200</v>
      </c>
      <c r="I8" s="1247">
        <v>2150000</v>
      </c>
      <c r="J8" s="1247">
        <f t="shared" si="3"/>
        <v>2150000</v>
      </c>
    </row>
    <row r="9" spans="1:11">
      <c r="A9" s="1243">
        <v>7</v>
      </c>
      <c r="B9" s="1250" t="s">
        <v>788</v>
      </c>
      <c r="C9" s="1243" t="s">
        <v>366</v>
      </c>
      <c r="D9" s="1243">
        <v>1</v>
      </c>
      <c r="E9" s="1245">
        <v>604950</v>
      </c>
      <c r="F9" s="1246">
        <f t="shared" si="0"/>
        <v>48396</v>
      </c>
      <c r="G9" s="1246">
        <f t="shared" si="1"/>
        <v>653346</v>
      </c>
      <c r="H9" s="1246">
        <f t="shared" si="2"/>
        <v>653346</v>
      </c>
      <c r="I9" s="1247">
        <v>580000</v>
      </c>
      <c r="J9" s="1247">
        <f t="shared" si="3"/>
        <v>580000</v>
      </c>
    </row>
    <row r="10" spans="1:11">
      <c r="A10" s="1243">
        <v>8</v>
      </c>
      <c r="B10" s="1250" t="s">
        <v>789</v>
      </c>
      <c r="C10" s="1243" t="s">
        <v>380</v>
      </c>
      <c r="D10" s="1243">
        <v>1</v>
      </c>
      <c r="E10" s="1245">
        <v>133400</v>
      </c>
      <c r="F10" s="1246">
        <f t="shared" si="0"/>
        <v>10672</v>
      </c>
      <c r="G10" s="1246">
        <f t="shared" si="1"/>
        <v>144072</v>
      </c>
      <c r="H10" s="1246">
        <f t="shared" si="2"/>
        <v>144072</v>
      </c>
      <c r="I10" s="1247">
        <v>212000</v>
      </c>
      <c r="J10" s="1247">
        <f t="shared" si="3"/>
        <v>212000</v>
      </c>
    </row>
    <row r="11" spans="1:11">
      <c r="A11" s="1243">
        <v>9</v>
      </c>
      <c r="B11" s="1244" t="s">
        <v>790</v>
      </c>
      <c r="C11" s="1243" t="s">
        <v>366</v>
      </c>
      <c r="D11" s="1243">
        <v>1</v>
      </c>
      <c r="E11" s="1245">
        <f>VLOOKUP($B11,'[1]DONGIA_T6.2025 (PL5)'!$B$5:$H$295,4,0)</f>
        <v>184000</v>
      </c>
      <c r="F11" s="1246">
        <f t="shared" si="0"/>
        <v>14720</v>
      </c>
      <c r="G11" s="1246">
        <f t="shared" si="1"/>
        <v>198720</v>
      </c>
      <c r="H11" s="1246">
        <f t="shared" si="2"/>
        <v>198720</v>
      </c>
      <c r="I11" s="1247">
        <v>149000</v>
      </c>
      <c r="J11" s="1247">
        <f t="shared" si="3"/>
        <v>149000</v>
      </c>
    </row>
    <row r="12" spans="1:11">
      <c r="A12" s="1243">
        <v>10</v>
      </c>
      <c r="B12" s="1244" t="s">
        <v>365</v>
      </c>
      <c r="C12" s="1243" t="s">
        <v>366</v>
      </c>
      <c r="D12" s="1243">
        <v>1</v>
      </c>
      <c r="E12" s="1245">
        <v>550000</v>
      </c>
      <c r="F12" s="1246">
        <f t="shared" si="0"/>
        <v>44000</v>
      </c>
      <c r="G12" s="1246">
        <f t="shared" si="1"/>
        <v>594000</v>
      </c>
      <c r="H12" s="1246">
        <f t="shared" si="2"/>
        <v>594000</v>
      </c>
      <c r="I12" s="1247">
        <v>210000</v>
      </c>
      <c r="J12" s="1247">
        <f t="shared" si="3"/>
        <v>210000</v>
      </c>
    </row>
    <row r="13" spans="1:11">
      <c r="A13" s="1243">
        <v>11</v>
      </c>
      <c r="B13" s="1244" t="s">
        <v>791</v>
      </c>
      <c r="C13" s="1243" t="s">
        <v>366</v>
      </c>
      <c r="D13" s="1243">
        <v>1</v>
      </c>
      <c r="E13" s="1245">
        <f>VLOOKUP($B13,'[1]DONGIA_T6.2025 (PL5)'!$B$5:$H$295,4,0)</f>
        <v>201000</v>
      </c>
      <c r="F13" s="1246">
        <f t="shared" si="0"/>
        <v>16080</v>
      </c>
      <c r="G13" s="1246">
        <f t="shared" si="1"/>
        <v>217080</v>
      </c>
      <c r="H13" s="1246">
        <f t="shared" si="2"/>
        <v>217080</v>
      </c>
      <c r="I13" s="1247">
        <v>196600</v>
      </c>
      <c r="J13" s="1247">
        <f t="shared" si="3"/>
        <v>196600</v>
      </c>
    </row>
    <row r="14" spans="1:11" s="1256" customFormat="1">
      <c r="A14" s="1251">
        <v>12</v>
      </c>
      <c r="B14" s="1252" t="s">
        <v>792</v>
      </c>
      <c r="C14" s="1251" t="s">
        <v>366</v>
      </c>
      <c r="D14" s="1251">
        <v>1</v>
      </c>
      <c r="E14" s="1253">
        <v>11040000</v>
      </c>
      <c r="F14" s="1254">
        <f t="shared" si="0"/>
        <v>883200</v>
      </c>
      <c r="G14" s="1254">
        <f t="shared" si="1"/>
        <v>11923200</v>
      </c>
      <c r="H14" s="1246">
        <f t="shared" si="2"/>
        <v>11923200</v>
      </c>
      <c r="I14" s="1255">
        <v>0</v>
      </c>
      <c r="J14" s="1255">
        <v>0</v>
      </c>
      <c r="K14" s="1248"/>
    </row>
    <row r="15" spans="1:11">
      <c r="A15" s="1243">
        <v>13</v>
      </c>
      <c r="B15" s="1244" t="s">
        <v>793</v>
      </c>
      <c r="C15" s="1243" t="s">
        <v>366</v>
      </c>
      <c r="D15" s="1243">
        <v>1</v>
      </c>
      <c r="E15" s="1245">
        <f>VLOOKUP($B15,'[1]DONGIA_T6.2025 (PL5)'!$B$5:$H$295,4,0)</f>
        <v>39500</v>
      </c>
      <c r="F15" s="1246">
        <f t="shared" si="0"/>
        <v>3160</v>
      </c>
      <c r="G15" s="1246">
        <f t="shared" si="1"/>
        <v>42660</v>
      </c>
      <c r="H15" s="1246">
        <f t="shared" si="2"/>
        <v>42660</v>
      </c>
      <c r="I15" s="1247">
        <v>25000</v>
      </c>
      <c r="J15" s="1247">
        <f t="shared" si="3"/>
        <v>25000</v>
      </c>
    </row>
    <row r="16" spans="1:11">
      <c r="A16" s="1243">
        <v>14</v>
      </c>
      <c r="B16" s="1244" t="s">
        <v>794</v>
      </c>
      <c r="C16" s="1243" t="s">
        <v>366</v>
      </c>
      <c r="D16" s="1243">
        <v>1</v>
      </c>
      <c r="E16" s="1245">
        <v>4670000</v>
      </c>
      <c r="F16" s="1246">
        <f t="shared" si="0"/>
        <v>373600</v>
      </c>
      <c r="G16" s="1246">
        <f t="shared" si="1"/>
        <v>5043600</v>
      </c>
      <c r="H16" s="1246">
        <f t="shared" si="2"/>
        <v>5043600</v>
      </c>
      <c r="I16" s="1247">
        <v>4900000</v>
      </c>
      <c r="J16" s="1247">
        <f t="shared" si="3"/>
        <v>4900000</v>
      </c>
    </row>
    <row r="17" spans="1:10">
      <c r="A17" s="1243">
        <v>15</v>
      </c>
      <c r="B17" s="1257" t="s">
        <v>795</v>
      </c>
      <c r="C17" s="1243" t="s">
        <v>366</v>
      </c>
      <c r="D17" s="1243">
        <v>1</v>
      </c>
      <c r="E17" s="1245">
        <v>2346000</v>
      </c>
      <c r="F17" s="1246">
        <f t="shared" si="0"/>
        <v>187680</v>
      </c>
      <c r="G17" s="1246">
        <f t="shared" si="1"/>
        <v>2533680</v>
      </c>
      <c r="H17" s="1246">
        <f t="shared" si="2"/>
        <v>2533680</v>
      </c>
      <c r="I17" s="1247">
        <v>2407407</v>
      </c>
      <c r="J17" s="1247">
        <f t="shared" si="3"/>
        <v>2407407</v>
      </c>
    </row>
    <row r="18" spans="1:10">
      <c r="A18" s="1243">
        <v>16</v>
      </c>
      <c r="B18" s="1244" t="s">
        <v>796</v>
      </c>
      <c r="C18" s="1243" t="s">
        <v>366</v>
      </c>
      <c r="D18" s="1243">
        <v>1</v>
      </c>
      <c r="E18" s="1245">
        <v>202400</v>
      </c>
      <c r="F18" s="1246">
        <f t="shared" si="0"/>
        <v>16192</v>
      </c>
      <c r="G18" s="1246">
        <f t="shared" si="1"/>
        <v>218592</v>
      </c>
      <c r="H18" s="1246">
        <f t="shared" si="2"/>
        <v>218592</v>
      </c>
      <c r="I18" s="1247">
        <v>715000</v>
      </c>
      <c r="J18" s="1247">
        <f t="shared" si="3"/>
        <v>715000</v>
      </c>
    </row>
    <row r="19" spans="1:10">
      <c r="A19" s="1243">
        <v>17</v>
      </c>
      <c r="B19" s="1244" t="s">
        <v>797</v>
      </c>
      <c r="C19" s="1243" t="s">
        <v>366</v>
      </c>
      <c r="D19" s="1243">
        <v>1</v>
      </c>
      <c r="E19" s="1245">
        <v>2392000</v>
      </c>
      <c r="F19" s="1246">
        <f t="shared" si="0"/>
        <v>191360</v>
      </c>
      <c r="G19" s="1246">
        <f t="shared" si="1"/>
        <v>2583360</v>
      </c>
      <c r="H19" s="1246">
        <f t="shared" si="2"/>
        <v>2583360</v>
      </c>
      <c r="I19" s="1247">
        <v>2600000</v>
      </c>
      <c r="J19" s="1247">
        <f t="shared" si="3"/>
        <v>2600000</v>
      </c>
    </row>
    <row r="20" spans="1:10">
      <c r="A20" s="1243">
        <v>18</v>
      </c>
      <c r="B20" s="1244" t="s">
        <v>786</v>
      </c>
      <c r="C20" s="1243" t="s">
        <v>366</v>
      </c>
      <c r="D20" s="1243">
        <v>1</v>
      </c>
      <c r="E20" s="1245">
        <f>VLOOKUP($B20,'[1]DONGIA_T6.2025 (PL5)'!$B$5:$H$295,4,0)</f>
        <v>1550000</v>
      </c>
      <c r="F20" s="1246">
        <f t="shared" si="0"/>
        <v>124000</v>
      </c>
      <c r="G20" s="1246">
        <f t="shared" si="1"/>
        <v>1674000</v>
      </c>
      <c r="H20" s="1246">
        <f t="shared" si="2"/>
        <v>1674000</v>
      </c>
      <c r="I20" s="1247">
        <v>1410000</v>
      </c>
      <c r="J20" s="1247">
        <f t="shared" si="3"/>
        <v>1410000</v>
      </c>
    </row>
    <row r="21" spans="1:10">
      <c r="A21" s="1243">
        <v>19</v>
      </c>
      <c r="B21" s="1244" t="s">
        <v>798</v>
      </c>
      <c r="C21" s="1243" t="s">
        <v>366</v>
      </c>
      <c r="D21" s="1243">
        <v>1</v>
      </c>
      <c r="E21" s="1245">
        <v>828000</v>
      </c>
      <c r="F21" s="1246">
        <f t="shared" si="0"/>
        <v>66240</v>
      </c>
      <c r="G21" s="1246">
        <f t="shared" si="1"/>
        <v>894240</v>
      </c>
      <c r="H21" s="1246">
        <f t="shared" si="2"/>
        <v>894240</v>
      </c>
      <c r="I21" s="1247">
        <v>795000</v>
      </c>
      <c r="J21" s="1247">
        <f t="shared" si="3"/>
        <v>795000</v>
      </c>
    </row>
    <row r="22" spans="1:10">
      <c r="A22" s="1243">
        <v>20</v>
      </c>
      <c r="B22" s="1244" t="s">
        <v>799</v>
      </c>
      <c r="C22" s="1243" t="s">
        <v>366</v>
      </c>
      <c r="D22" s="1243">
        <v>1</v>
      </c>
      <c r="E22" s="1245">
        <v>1239000</v>
      </c>
      <c r="F22" s="1246">
        <f t="shared" si="0"/>
        <v>99120</v>
      </c>
      <c r="G22" s="1246">
        <f t="shared" si="1"/>
        <v>1338120</v>
      </c>
      <c r="H22" s="1246">
        <f t="shared" si="2"/>
        <v>1338120</v>
      </c>
      <c r="I22" s="1247">
        <v>800000</v>
      </c>
      <c r="J22" s="1247">
        <f t="shared" si="3"/>
        <v>800000</v>
      </c>
    </row>
    <row r="23" spans="1:10">
      <c r="A23" s="1243">
        <v>21</v>
      </c>
      <c r="B23" s="1249" t="s">
        <v>800</v>
      </c>
      <c r="C23" s="1243" t="s">
        <v>366</v>
      </c>
      <c r="D23" s="1243">
        <v>1</v>
      </c>
      <c r="E23" s="1245">
        <f>VLOOKUP($B23,'[1]DONGIA_T6.2025 (PL5)'!$B$5:$H$295,4,0)</f>
        <v>239200</v>
      </c>
      <c r="F23" s="1246">
        <f t="shared" si="0"/>
        <v>19136</v>
      </c>
      <c r="G23" s="1246">
        <f t="shared" si="1"/>
        <v>258336</v>
      </c>
      <c r="H23" s="1246">
        <f t="shared" si="2"/>
        <v>258336</v>
      </c>
      <c r="I23" s="1247">
        <v>290000</v>
      </c>
      <c r="J23" s="1247">
        <f t="shared" si="3"/>
        <v>290000</v>
      </c>
    </row>
    <row r="24" spans="1:10">
      <c r="A24" s="1243">
        <v>22</v>
      </c>
      <c r="B24" s="1244" t="s">
        <v>801</v>
      </c>
      <c r="C24" s="1243" t="s">
        <v>366</v>
      </c>
      <c r="D24" s="1243">
        <v>1</v>
      </c>
      <c r="E24" s="1258">
        <v>595000</v>
      </c>
      <c r="F24" s="1246">
        <f t="shared" si="0"/>
        <v>47600</v>
      </c>
      <c r="G24" s="1246">
        <f t="shared" si="1"/>
        <v>642600</v>
      </c>
      <c r="H24" s="1246">
        <f t="shared" si="2"/>
        <v>642600</v>
      </c>
      <c r="I24" s="1247">
        <v>450000</v>
      </c>
      <c r="J24" s="1247">
        <f t="shared" si="3"/>
        <v>450000</v>
      </c>
    </row>
    <row r="25" spans="1:10">
      <c r="A25" s="1243">
        <v>23</v>
      </c>
      <c r="B25" s="1244" t="s">
        <v>802</v>
      </c>
      <c r="C25" s="1243" t="s">
        <v>366</v>
      </c>
      <c r="D25" s="1243">
        <v>1</v>
      </c>
      <c r="E25" s="1245">
        <f>VLOOKUP($B25,'[1]DONGIA_T6.2025 (PL5)'!$B$5:$H$295,4,0)</f>
        <v>50000</v>
      </c>
      <c r="F25" s="1246">
        <f t="shared" si="0"/>
        <v>4000</v>
      </c>
      <c r="G25" s="1246">
        <f t="shared" si="1"/>
        <v>54000</v>
      </c>
      <c r="H25" s="1246">
        <f t="shared" si="2"/>
        <v>54000</v>
      </c>
      <c r="I25" s="1247">
        <v>35000</v>
      </c>
      <c r="J25" s="1247">
        <f t="shared" si="3"/>
        <v>35000</v>
      </c>
    </row>
    <row r="26" spans="1:10">
      <c r="A26" s="1243">
        <v>24</v>
      </c>
      <c r="B26" s="1259" t="s">
        <v>803</v>
      </c>
      <c r="C26" s="1243" t="s">
        <v>366</v>
      </c>
      <c r="D26" s="1243">
        <v>1</v>
      </c>
      <c r="E26" s="1245">
        <v>2268519</v>
      </c>
      <c r="F26" s="1246">
        <f t="shared" si="0"/>
        <v>181481.52</v>
      </c>
      <c r="G26" s="1246">
        <f t="shared" si="1"/>
        <v>2450000.52</v>
      </c>
      <c r="H26" s="1246">
        <f t="shared" si="2"/>
        <v>2450000.52</v>
      </c>
      <c r="I26" s="1247">
        <v>3135000</v>
      </c>
      <c r="J26" s="1247">
        <f t="shared" si="3"/>
        <v>3135000</v>
      </c>
    </row>
    <row r="27" spans="1:10">
      <c r="A27" s="1243">
        <v>25</v>
      </c>
      <c r="B27" s="1244" t="s">
        <v>481</v>
      </c>
      <c r="C27" s="1243" t="s">
        <v>366</v>
      </c>
      <c r="D27" s="1243">
        <v>1</v>
      </c>
      <c r="E27" s="1245">
        <f>VLOOKUP($B27,'[1]DONGIA_T6.2025 (PL5)'!$B$5:$H$295,4,0)</f>
        <v>95000</v>
      </c>
      <c r="F27" s="1246">
        <f t="shared" si="0"/>
        <v>7600</v>
      </c>
      <c r="G27" s="1246">
        <f t="shared" si="1"/>
        <v>102600</v>
      </c>
      <c r="H27" s="1246">
        <f t="shared" si="2"/>
        <v>102600</v>
      </c>
      <c r="I27" s="1247">
        <v>116363.63636363635</v>
      </c>
      <c r="J27" s="1247">
        <f t="shared" si="3"/>
        <v>116363.63636363635</v>
      </c>
    </row>
    <row r="28" spans="1:10">
      <c r="A28" s="1243">
        <v>26</v>
      </c>
      <c r="B28" s="1244" t="s">
        <v>804</v>
      </c>
      <c r="C28" s="1243" t="s">
        <v>366</v>
      </c>
      <c r="D28" s="1243">
        <v>1</v>
      </c>
      <c r="E28" s="1260">
        <v>519000</v>
      </c>
      <c r="F28" s="1246">
        <f t="shared" si="0"/>
        <v>41520</v>
      </c>
      <c r="G28" s="1246">
        <f t="shared" si="1"/>
        <v>560520</v>
      </c>
      <c r="H28" s="1246">
        <f t="shared" si="2"/>
        <v>560520</v>
      </c>
      <c r="I28" s="1247">
        <v>510000</v>
      </c>
      <c r="J28" s="1247">
        <f t="shared" si="3"/>
        <v>510000</v>
      </c>
    </row>
    <row r="29" spans="1:10">
      <c r="A29" s="1243">
        <v>27</v>
      </c>
      <c r="B29" s="1244" t="s">
        <v>805</v>
      </c>
      <c r="C29" s="1243" t="s">
        <v>366</v>
      </c>
      <c r="D29" s="1243">
        <v>1</v>
      </c>
      <c r="E29" s="1245">
        <v>110400</v>
      </c>
      <c r="F29" s="1246">
        <f t="shared" si="0"/>
        <v>8832</v>
      </c>
      <c r="G29" s="1246">
        <f t="shared" si="1"/>
        <v>119232</v>
      </c>
      <c r="H29" s="1246">
        <f t="shared" si="2"/>
        <v>119232</v>
      </c>
      <c r="I29" s="1247">
        <v>69000</v>
      </c>
      <c r="J29" s="1247">
        <f t="shared" si="3"/>
        <v>69000</v>
      </c>
    </row>
    <row r="30" spans="1:10">
      <c r="A30" s="1243">
        <v>28</v>
      </c>
      <c r="B30" s="1244" t="s">
        <v>806</v>
      </c>
      <c r="C30" s="1243" t="s">
        <v>366</v>
      </c>
      <c r="D30" s="1243">
        <v>1</v>
      </c>
      <c r="E30" s="1245">
        <v>125000</v>
      </c>
      <c r="F30" s="1246">
        <f t="shared" si="0"/>
        <v>10000</v>
      </c>
      <c r="G30" s="1246">
        <f t="shared" si="1"/>
        <v>135000</v>
      </c>
      <c r="H30" s="1246">
        <f t="shared" si="2"/>
        <v>135000</v>
      </c>
      <c r="I30" s="1247">
        <v>115000</v>
      </c>
      <c r="J30" s="1247">
        <f t="shared" si="3"/>
        <v>115000</v>
      </c>
    </row>
    <row r="31" spans="1:10">
      <c r="A31" s="1243">
        <v>29</v>
      </c>
      <c r="B31" s="1244" t="s">
        <v>807</v>
      </c>
      <c r="C31" s="1243" t="s">
        <v>376</v>
      </c>
      <c r="D31" s="1243">
        <v>1</v>
      </c>
      <c r="E31" s="1245">
        <v>190000</v>
      </c>
      <c r="F31" s="1246">
        <f t="shared" si="0"/>
        <v>15200</v>
      </c>
      <c r="G31" s="1246">
        <f t="shared" si="1"/>
        <v>205200</v>
      </c>
      <c r="H31" s="1246">
        <f t="shared" si="2"/>
        <v>205200</v>
      </c>
      <c r="I31" s="1247">
        <v>165000</v>
      </c>
      <c r="J31" s="1247">
        <f t="shared" si="3"/>
        <v>165000</v>
      </c>
    </row>
    <row r="32" spans="1:10">
      <c r="A32" s="1243">
        <v>30</v>
      </c>
      <c r="B32" s="1244" t="s">
        <v>808</v>
      </c>
      <c r="C32" s="1243" t="s">
        <v>376</v>
      </c>
      <c r="D32" s="1243">
        <v>1</v>
      </c>
      <c r="E32" s="1245">
        <v>10500</v>
      </c>
      <c r="F32" s="1246">
        <f t="shared" si="0"/>
        <v>840</v>
      </c>
      <c r="G32" s="1246">
        <f t="shared" si="1"/>
        <v>11340</v>
      </c>
      <c r="H32" s="1246">
        <f t="shared" si="2"/>
        <v>11340</v>
      </c>
      <c r="I32" s="1247">
        <v>25000</v>
      </c>
      <c r="J32" s="1247">
        <f t="shared" si="3"/>
        <v>25000</v>
      </c>
    </row>
    <row r="33" spans="1:11">
      <c r="A33" s="1243">
        <v>31</v>
      </c>
      <c r="B33" s="1244" t="s">
        <v>809</v>
      </c>
      <c r="C33" s="1243" t="s">
        <v>380</v>
      </c>
      <c r="D33" s="1243">
        <v>1</v>
      </c>
      <c r="E33" s="1245">
        <f>VLOOKUP($B33,'[1]DONGIA_T6.2025 (PL5)'!$B$5:$H$295,4,0)</f>
        <v>303600</v>
      </c>
      <c r="F33" s="1246">
        <f t="shared" si="0"/>
        <v>24288</v>
      </c>
      <c r="G33" s="1246">
        <f t="shared" si="1"/>
        <v>327888</v>
      </c>
      <c r="H33" s="1246">
        <f t="shared" si="2"/>
        <v>327888</v>
      </c>
      <c r="I33" s="1247">
        <v>239000</v>
      </c>
      <c r="J33" s="1247">
        <f t="shared" si="3"/>
        <v>239000</v>
      </c>
    </row>
    <row r="34" spans="1:11">
      <c r="A34" s="1243">
        <v>32</v>
      </c>
      <c r="B34" s="1244" t="s">
        <v>374</v>
      </c>
      <c r="C34" s="1243" t="s">
        <v>366</v>
      </c>
      <c r="D34" s="1243">
        <v>1</v>
      </c>
      <c r="E34" s="1261">
        <f>VLOOKUP($B34,'[2]DONGIA_T6.2025 (PL5)'!$B$5:$H$295,4,0)</f>
        <v>38700</v>
      </c>
      <c r="F34" s="1246">
        <f t="shared" si="0"/>
        <v>3096</v>
      </c>
      <c r="G34" s="1246">
        <f t="shared" si="1"/>
        <v>41796</v>
      </c>
      <c r="H34" s="1246">
        <f t="shared" si="2"/>
        <v>41796</v>
      </c>
      <c r="I34" s="1247">
        <v>30000</v>
      </c>
      <c r="J34" s="1247">
        <v>30000</v>
      </c>
    </row>
    <row r="35" spans="1:11">
      <c r="A35" s="1243">
        <v>33</v>
      </c>
      <c r="B35" s="1244" t="s">
        <v>810</v>
      </c>
      <c r="C35" s="1243" t="s">
        <v>380</v>
      </c>
      <c r="D35" s="1243">
        <v>1</v>
      </c>
      <c r="E35" s="1245">
        <v>386400</v>
      </c>
      <c r="F35" s="1246">
        <f t="shared" si="0"/>
        <v>30912</v>
      </c>
      <c r="G35" s="1246">
        <f t="shared" si="1"/>
        <v>417312</v>
      </c>
      <c r="H35" s="1246">
        <f t="shared" si="2"/>
        <v>417312</v>
      </c>
      <c r="I35" s="1247">
        <v>300000</v>
      </c>
      <c r="J35" s="1247">
        <f t="shared" si="3"/>
        <v>300000</v>
      </c>
    </row>
    <row r="36" spans="1:11">
      <c r="A36" s="1243">
        <v>34</v>
      </c>
      <c r="B36" s="1244" t="s">
        <v>811</v>
      </c>
      <c r="C36" s="1243" t="s">
        <v>380</v>
      </c>
      <c r="D36" s="1243">
        <v>1</v>
      </c>
      <c r="E36" s="1262">
        <v>165000</v>
      </c>
      <c r="F36" s="1246">
        <f t="shared" si="0"/>
        <v>13200</v>
      </c>
      <c r="G36" s="1246">
        <f t="shared" si="1"/>
        <v>178200</v>
      </c>
      <c r="H36" s="1246">
        <f t="shared" si="2"/>
        <v>178200</v>
      </c>
      <c r="I36" s="1247">
        <v>165000</v>
      </c>
      <c r="J36" s="1247">
        <f t="shared" si="3"/>
        <v>165000</v>
      </c>
    </row>
    <row r="37" spans="1:11">
      <c r="A37" s="1243">
        <v>35</v>
      </c>
      <c r="B37" s="1244" t="s">
        <v>812</v>
      </c>
      <c r="C37" s="1243" t="s">
        <v>380</v>
      </c>
      <c r="D37" s="1243">
        <v>1</v>
      </c>
      <c r="E37" s="1245">
        <v>184563</v>
      </c>
      <c r="F37" s="1246">
        <f t="shared" si="0"/>
        <v>14765.04</v>
      </c>
      <c r="G37" s="1246">
        <f t="shared" si="1"/>
        <v>199328.04</v>
      </c>
      <c r="H37" s="1246">
        <f t="shared" si="2"/>
        <v>199328.04</v>
      </c>
      <c r="I37" s="1247">
        <v>205000</v>
      </c>
      <c r="J37" s="1247">
        <f t="shared" si="3"/>
        <v>205000</v>
      </c>
    </row>
    <row r="38" spans="1:11">
      <c r="A38" s="1243">
        <v>36</v>
      </c>
      <c r="B38" s="1244" t="s">
        <v>813</v>
      </c>
      <c r="C38" s="1243" t="s">
        <v>398</v>
      </c>
      <c r="D38" s="1243">
        <v>1</v>
      </c>
      <c r="E38" s="1262">
        <v>500850</v>
      </c>
      <c r="F38" s="1246">
        <f t="shared" si="0"/>
        <v>40068</v>
      </c>
      <c r="G38" s="1246">
        <f t="shared" si="1"/>
        <v>540918</v>
      </c>
      <c r="H38" s="1246">
        <f t="shared" si="2"/>
        <v>540918</v>
      </c>
      <c r="I38" s="1247">
        <v>440000</v>
      </c>
      <c r="J38" s="1247">
        <f t="shared" si="3"/>
        <v>440000</v>
      </c>
    </row>
    <row r="39" spans="1:11">
      <c r="A39" s="1243">
        <v>37</v>
      </c>
      <c r="B39" s="1244" t="s">
        <v>814</v>
      </c>
      <c r="C39" s="1243" t="s">
        <v>380</v>
      </c>
      <c r="D39" s="1243">
        <v>1</v>
      </c>
      <c r="E39" s="1262">
        <v>4114000</v>
      </c>
      <c r="F39" s="1246">
        <f t="shared" si="0"/>
        <v>329120</v>
      </c>
      <c r="G39" s="1246">
        <f t="shared" si="1"/>
        <v>4443120</v>
      </c>
      <c r="H39" s="1246">
        <f t="shared" si="2"/>
        <v>4443120</v>
      </c>
      <c r="I39" s="1247">
        <v>3960000</v>
      </c>
      <c r="J39" s="1247">
        <f t="shared" si="3"/>
        <v>3960000</v>
      </c>
    </row>
    <row r="40" spans="1:11">
      <c r="A40" s="1243">
        <v>38</v>
      </c>
      <c r="B40" s="1244" t="s">
        <v>815</v>
      </c>
      <c r="C40" s="1243" t="s">
        <v>398</v>
      </c>
      <c r="D40" s="1243">
        <v>1</v>
      </c>
      <c r="E40" s="1262">
        <v>110000</v>
      </c>
      <c r="F40" s="1246">
        <f t="shared" si="0"/>
        <v>8800</v>
      </c>
      <c r="G40" s="1246">
        <f t="shared" si="1"/>
        <v>118800</v>
      </c>
      <c r="H40" s="1246">
        <f t="shared" si="2"/>
        <v>118800</v>
      </c>
      <c r="I40" s="1247">
        <v>110000</v>
      </c>
      <c r="J40" s="1247">
        <f t="shared" si="3"/>
        <v>110000</v>
      </c>
    </row>
    <row r="41" spans="1:11">
      <c r="A41" s="1243">
        <v>39</v>
      </c>
      <c r="B41" s="1244" t="s">
        <v>816</v>
      </c>
      <c r="C41" s="1243" t="s">
        <v>398</v>
      </c>
      <c r="D41" s="1243">
        <v>1</v>
      </c>
      <c r="E41" s="1262">
        <v>300000</v>
      </c>
      <c r="F41" s="1246">
        <f t="shared" si="0"/>
        <v>24000</v>
      </c>
      <c r="G41" s="1246">
        <f t="shared" si="1"/>
        <v>324000</v>
      </c>
      <c r="H41" s="1246">
        <f t="shared" si="2"/>
        <v>324000</v>
      </c>
      <c r="I41" s="1247">
        <v>70000</v>
      </c>
      <c r="J41" s="1247">
        <f t="shared" si="3"/>
        <v>70000</v>
      </c>
    </row>
    <row r="42" spans="1:11">
      <c r="A42" s="1243">
        <v>40</v>
      </c>
      <c r="B42" s="1244" t="s">
        <v>817</v>
      </c>
      <c r="C42" s="1243" t="s">
        <v>376</v>
      </c>
      <c r="D42" s="1243">
        <v>1</v>
      </c>
      <c r="E42" s="1262">
        <v>350000</v>
      </c>
      <c r="F42" s="1246">
        <f t="shared" si="0"/>
        <v>28000</v>
      </c>
      <c r="G42" s="1246">
        <f t="shared" si="1"/>
        <v>378000</v>
      </c>
      <c r="H42" s="1246">
        <f t="shared" si="2"/>
        <v>378000</v>
      </c>
      <c r="I42" s="1247">
        <v>320000</v>
      </c>
      <c r="J42" s="1247">
        <f t="shared" si="3"/>
        <v>320000</v>
      </c>
    </row>
    <row r="43" spans="1:11">
      <c r="A43" s="1243">
        <v>41</v>
      </c>
      <c r="B43" s="1244" t="s">
        <v>818</v>
      </c>
      <c r="C43" s="1243" t="s">
        <v>398</v>
      </c>
      <c r="D43" s="1243">
        <v>1</v>
      </c>
      <c r="E43" s="1262">
        <v>465000</v>
      </c>
      <c r="F43" s="1246">
        <f t="shared" si="0"/>
        <v>37200</v>
      </c>
      <c r="G43" s="1246">
        <f t="shared" si="1"/>
        <v>502200</v>
      </c>
      <c r="H43" s="1246">
        <f t="shared" si="2"/>
        <v>502200</v>
      </c>
      <c r="I43" s="1247">
        <v>430000</v>
      </c>
      <c r="J43" s="1247">
        <f t="shared" si="3"/>
        <v>430000</v>
      </c>
    </row>
    <row r="44" spans="1:11">
      <c r="A44" s="1243">
        <v>42</v>
      </c>
      <c r="B44" s="1244" t="s">
        <v>819</v>
      </c>
      <c r="C44" s="1243" t="s">
        <v>398</v>
      </c>
      <c r="D44" s="1243">
        <v>1</v>
      </c>
      <c r="E44" s="1262">
        <v>510000</v>
      </c>
      <c r="F44" s="1246">
        <f t="shared" si="0"/>
        <v>40800</v>
      </c>
      <c r="G44" s="1246">
        <f t="shared" si="1"/>
        <v>550800</v>
      </c>
      <c r="H44" s="1246">
        <f t="shared" si="2"/>
        <v>550800</v>
      </c>
      <c r="I44" s="1247">
        <v>510000</v>
      </c>
      <c r="J44" s="1247">
        <f t="shared" si="3"/>
        <v>510000</v>
      </c>
    </row>
    <row r="45" spans="1:11" s="1256" customFormat="1">
      <c r="A45" s="1251">
        <v>43</v>
      </c>
      <c r="B45" s="1263" t="s">
        <v>820</v>
      </c>
      <c r="C45" s="1251" t="s">
        <v>396</v>
      </c>
      <c r="D45" s="1251">
        <v>1</v>
      </c>
      <c r="E45" s="1254">
        <v>70000</v>
      </c>
      <c r="F45" s="1254">
        <f t="shared" si="0"/>
        <v>5600</v>
      </c>
      <c r="G45" s="1254">
        <f t="shared" si="1"/>
        <v>75600</v>
      </c>
      <c r="H45" s="1246">
        <f t="shared" si="2"/>
        <v>75600</v>
      </c>
      <c r="I45" s="1255">
        <v>0</v>
      </c>
      <c r="J45" s="1255">
        <v>0</v>
      </c>
      <c r="K45" s="1248"/>
    </row>
    <row r="46" spans="1:11" s="1256" customFormat="1">
      <c r="A46" s="1251">
        <v>44</v>
      </c>
      <c r="B46" s="1263" t="s">
        <v>821</v>
      </c>
      <c r="C46" s="1251" t="s">
        <v>390</v>
      </c>
      <c r="D46" s="1251">
        <v>1</v>
      </c>
      <c r="E46" s="1254">
        <v>4500</v>
      </c>
      <c r="F46" s="1254">
        <f t="shared" si="0"/>
        <v>360</v>
      </c>
      <c r="G46" s="1254">
        <f t="shared" si="1"/>
        <v>4860</v>
      </c>
      <c r="H46" s="1246">
        <f t="shared" si="2"/>
        <v>4860</v>
      </c>
      <c r="I46" s="1255">
        <v>0</v>
      </c>
      <c r="J46" s="1255">
        <v>0</v>
      </c>
      <c r="K46" s="1248"/>
    </row>
    <row r="47" spans="1:11" s="1256" customFormat="1">
      <c r="A47" s="1251">
        <v>45</v>
      </c>
      <c r="B47" s="1263" t="s">
        <v>822</v>
      </c>
      <c r="C47" s="1251" t="s">
        <v>366</v>
      </c>
      <c r="D47" s="1251">
        <v>1</v>
      </c>
      <c r="E47" s="1254">
        <v>85000</v>
      </c>
      <c r="F47" s="1254">
        <f t="shared" si="0"/>
        <v>6800</v>
      </c>
      <c r="G47" s="1254">
        <f t="shared" si="1"/>
        <v>91800</v>
      </c>
      <c r="H47" s="1246">
        <f t="shared" si="2"/>
        <v>91800</v>
      </c>
      <c r="I47" s="1255">
        <v>0</v>
      </c>
      <c r="J47" s="1255">
        <v>0</v>
      </c>
      <c r="K47" s="1248"/>
    </row>
    <row r="48" spans="1:11">
      <c r="A48" s="1243">
        <v>46</v>
      </c>
      <c r="B48" s="1244" t="s">
        <v>823</v>
      </c>
      <c r="C48" s="1243" t="s">
        <v>824</v>
      </c>
      <c r="D48" s="1243">
        <v>1</v>
      </c>
      <c r="E48" s="1262">
        <v>20000</v>
      </c>
      <c r="F48" s="1246">
        <f t="shared" si="0"/>
        <v>1600</v>
      </c>
      <c r="G48" s="1246">
        <f t="shared" si="1"/>
        <v>21600</v>
      </c>
      <c r="H48" s="1246">
        <f t="shared" si="2"/>
        <v>21600</v>
      </c>
      <c r="I48" s="1264">
        <v>113400</v>
      </c>
      <c r="J48" s="1247">
        <f t="shared" si="3"/>
        <v>113400</v>
      </c>
    </row>
    <row r="49" spans="1:10">
      <c r="A49" s="1243">
        <v>47</v>
      </c>
      <c r="B49" s="1244" t="s">
        <v>825</v>
      </c>
      <c r="C49" s="1243" t="s">
        <v>398</v>
      </c>
      <c r="D49" s="1243">
        <v>1</v>
      </c>
      <c r="E49" s="1262">
        <v>3130000</v>
      </c>
      <c r="F49" s="1246">
        <f t="shared" si="0"/>
        <v>250400</v>
      </c>
      <c r="G49" s="1246">
        <f t="shared" si="1"/>
        <v>3380400</v>
      </c>
      <c r="H49" s="1246">
        <f t="shared" si="2"/>
        <v>3380400</v>
      </c>
      <c r="I49" s="1247">
        <v>3130000</v>
      </c>
      <c r="J49" s="1247">
        <f t="shared" si="3"/>
        <v>3130000</v>
      </c>
    </row>
    <row r="50" spans="1:10">
      <c r="A50" s="1243">
        <v>48</v>
      </c>
      <c r="B50" s="1244" t="s">
        <v>826</v>
      </c>
      <c r="C50" s="1243" t="s">
        <v>398</v>
      </c>
      <c r="D50" s="1243">
        <v>1</v>
      </c>
      <c r="E50" s="1262">
        <v>161500</v>
      </c>
      <c r="F50" s="1246">
        <f t="shared" si="0"/>
        <v>12920</v>
      </c>
      <c r="G50" s="1246">
        <f t="shared" si="1"/>
        <v>174420</v>
      </c>
      <c r="H50" s="1246">
        <f t="shared" si="2"/>
        <v>174420</v>
      </c>
      <c r="I50" s="1247">
        <v>140000</v>
      </c>
      <c r="J50" s="1247">
        <f t="shared" si="3"/>
        <v>140000</v>
      </c>
    </row>
    <row r="51" spans="1:10">
      <c r="A51" s="1243">
        <v>49</v>
      </c>
      <c r="B51" s="1244" t="s">
        <v>827</v>
      </c>
      <c r="C51" s="1243" t="s">
        <v>398</v>
      </c>
      <c r="D51" s="1243">
        <v>1</v>
      </c>
      <c r="E51" s="1262">
        <v>125000</v>
      </c>
      <c r="F51" s="1246">
        <f t="shared" si="0"/>
        <v>10000</v>
      </c>
      <c r="G51" s="1246">
        <f t="shared" si="1"/>
        <v>135000</v>
      </c>
      <c r="H51" s="1246">
        <f t="shared" si="2"/>
        <v>135000</v>
      </c>
      <c r="I51" s="1247">
        <v>125000</v>
      </c>
      <c r="J51" s="1247">
        <f t="shared" si="3"/>
        <v>125000</v>
      </c>
    </row>
    <row r="52" spans="1:10">
      <c r="A52" s="1243">
        <v>50</v>
      </c>
      <c r="B52" s="1244" t="s">
        <v>828</v>
      </c>
      <c r="C52" s="1243" t="s">
        <v>398</v>
      </c>
      <c r="D52" s="1243">
        <v>1</v>
      </c>
      <c r="E52" s="1262">
        <v>100000</v>
      </c>
      <c r="F52" s="1246">
        <f t="shared" si="0"/>
        <v>8000</v>
      </c>
      <c r="G52" s="1246">
        <f t="shared" si="1"/>
        <v>108000</v>
      </c>
      <c r="H52" s="1246">
        <f t="shared" si="2"/>
        <v>108000</v>
      </c>
      <c r="I52" s="1247">
        <v>100000</v>
      </c>
      <c r="J52" s="1247">
        <f t="shared" si="3"/>
        <v>100000</v>
      </c>
    </row>
    <row r="53" spans="1:10">
      <c r="A53" s="1243">
        <v>51</v>
      </c>
      <c r="B53" s="1244" t="s">
        <v>829</v>
      </c>
      <c r="C53" s="1243" t="s">
        <v>376</v>
      </c>
      <c r="D53" s="1243">
        <v>1</v>
      </c>
      <c r="E53" s="1262">
        <v>15000</v>
      </c>
      <c r="F53" s="1246">
        <f t="shared" si="0"/>
        <v>1200</v>
      </c>
      <c r="G53" s="1246">
        <f t="shared" si="1"/>
        <v>16200</v>
      </c>
      <c r="H53" s="1246">
        <f t="shared" si="2"/>
        <v>16200</v>
      </c>
      <c r="I53" s="1247">
        <v>9500</v>
      </c>
      <c r="J53" s="1247">
        <f t="shared" si="3"/>
        <v>9500</v>
      </c>
    </row>
    <row r="54" spans="1:10">
      <c r="A54" s="1243">
        <v>52</v>
      </c>
      <c r="B54" s="1244" t="s">
        <v>830</v>
      </c>
      <c r="C54" s="1243" t="s">
        <v>824</v>
      </c>
      <c r="D54" s="1243">
        <v>1</v>
      </c>
      <c r="E54" s="1262">
        <v>75000</v>
      </c>
      <c r="F54" s="1246">
        <f t="shared" si="0"/>
        <v>6000</v>
      </c>
      <c r="G54" s="1246">
        <f t="shared" si="1"/>
        <v>81000</v>
      </c>
      <c r="H54" s="1246">
        <f t="shared" si="2"/>
        <v>81000</v>
      </c>
      <c r="I54" s="1247">
        <v>79000</v>
      </c>
      <c r="J54" s="1247">
        <f t="shared" si="3"/>
        <v>79000</v>
      </c>
    </row>
    <row r="55" spans="1:10">
      <c r="A55" s="1243">
        <v>53</v>
      </c>
      <c r="B55" s="1244" t="s">
        <v>831</v>
      </c>
      <c r="C55" s="1243" t="s">
        <v>366</v>
      </c>
      <c r="D55" s="1243">
        <v>1</v>
      </c>
      <c r="E55" s="1262">
        <v>200000</v>
      </c>
      <c r="F55" s="1246">
        <f t="shared" si="0"/>
        <v>16000</v>
      </c>
      <c r="G55" s="1246">
        <f t="shared" si="1"/>
        <v>216000</v>
      </c>
      <c r="H55" s="1246">
        <f t="shared" si="2"/>
        <v>216000</v>
      </c>
      <c r="I55" s="1247">
        <v>95000</v>
      </c>
      <c r="J55" s="1247">
        <f t="shared" si="3"/>
        <v>95000</v>
      </c>
    </row>
    <row r="56" spans="1:10">
      <c r="A56" s="1243">
        <v>54</v>
      </c>
      <c r="B56" s="1244" t="s">
        <v>832</v>
      </c>
      <c r="C56" s="1243" t="s">
        <v>366</v>
      </c>
      <c r="D56" s="1243">
        <v>1</v>
      </c>
      <c r="E56" s="1262">
        <v>5850</v>
      </c>
      <c r="F56" s="1246">
        <f t="shared" si="0"/>
        <v>468</v>
      </c>
      <c r="G56" s="1246">
        <f t="shared" si="1"/>
        <v>6318</v>
      </c>
      <c r="H56" s="1246">
        <f t="shared" si="2"/>
        <v>6318</v>
      </c>
      <c r="I56" s="1247">
        <v>3800</v>
      </c>
      <c r="J56" s="1247">
        <f t="shared" si="3"/>
        <v>3800</v>
      </c>
    </row>
    <row r="57" spans="1:10">
      <c r="A57" s="1243">
        <v>55</v>
      </c>
      <c r="B57" s="1244" t="s">
        <v>833</v>
      </c>
      <c r="C57" s="1243" t="s">
        <v>380</v>
      </c>
      <c r="D57" s="1243">
        <v>1</v>
      </c>
      <c r="E57" s="1245">
        <v>398650</v>
      </c>
      <c r="F57" s="1246">
        <f t="shared" si="0"/>
        <v>31892</v>
      </c>
      <c r="G57" s="1246">
        <f t="shared" si="1"/>
        <v>430542</v>
      </c>
      <c r="H57" s="1246">
        <f t="shared" si="2"/>
        <v>430542</v>
      </c>
      <c r="I57" s="1247">
        <v>398650</v>
      </c>
      <c r="J57" s="1247">
        <f t="shared" si="3"/>
        <v>398650</v>
      </c>
    </row>
    <row r="58" spans="1:10">
      <c r="A58" s="1243">
        <v>56</v>
      </c>
      <c r="B58" s="1244" t="s">
        <v>834</v>
      </c>
      <c r="C58" s="1243" t="s">
        <v>366</v>
      </c>
      <c r="D58" s="1243">
        <v>1</v>
      </c>
      <c r="E58" s="1245">
        <v>355000</v>
      </c>
      <c r="F58" s="1246">
        <f t="shared" si="0"/>
        <v>28400</v>
      </c>
      <c r="G58" s="1246">
        <f t="shared" si="1"/>
        <v>383400</v>
      </c>
      <c r="H58" s="1246">
        <f t="shared" si="2"/>
        <v>383400</v>
      </c>
      <c r="I58" s="1247">
        <v>355000</v>
      </c>
      <c r="J58" s="1247">
        <f t="shared" si="3"/>
        <v>355000</v>
      </c>
    </row>
    <row r="59" spans="1:10">
      <c r="A59" s="1243">
        <v>57</v>
      </c>
      <c r="B59" s="1244" t="s">
        <v>835</v>
      </c>
      <c r="C59" s="1243" t="s">
        <v>366</v>
      </c>
      <c r="D59" s="1243">
        <v>1</v>
      </c>
      <c r="E59" s="1245">
        <v>27000</v>
      </c>
      <c r="F59" s="1246">
        <f t="shared" si="0"/>
        <v>2160</v>
      </c>
      <c r="G59" s="1246">
        <f t="shared" si="1"/>
        <v>29160</v>
      </c>
      <c r="H59" s="1246">
        <f t="shared" si="2"/>
        <v>29160</v>
      </c>
      <c r="I59" s="1247">
        <v>5000</v>
      </c>
      <c r="J59" s="1247">
        <f t="shared" si="3"/>
        <v>5000</v>
      </c>
    </row>
    <row r="60" spans="1:10">
      <c r="A60" s="1243">
        <v>58</v>
      </c>
      <c r="B60" s="1244" t="s">
        <v>836</v>
      </c>
      <c r="C60" s="1243" t="s">
        <v>366</v>
      </c>
      <c r="D60" s="1243">
        <v>1</v>
      </c>
      <c r="E60" s="1245">
        <v>313000</v>
      </c>
      <c r="F60" s="1246">
        <f t="shared" si="0"/>
        <v>25040</v>
      </c>
      <c r="G60" s="1246">
        <f t="shared" si="1"/>
        <v>338040</v>
      </c>
      <c r="H60" s="1246">
        <f t="shared" si="2"/>
        <v>338040</v>
      </c>
      <c r="I60" s="1247">
        <v>313000</v>
      </c>
      <c r="J60" s="1247">
        <f t="shared" si="3"/>
        <v>313000</v>
      </c>
    </row>
    <row r="61" spans="1:10">
      <c r="A61" s="1243">
        <v>59</v>
      </c>
      <c r="B61" s="1244" t="s">
        <v>837</v>
      </c>
      <c r="C61" s="1243" t="s">
        <v>366</v>
      </c>
      <c r="D61" s="1243">
        <v>1</v>
      </c>
      <c r="E61" s="1245">
        <v>39000</v>
      </c>
      <c r="F61" s="1246">
        <f t="shared" si="0"/>
        <v>3120</v>
      </c>
      <c r="G61" s="1246">
        <f t="shared" si="1"/>
        <v>42120</v>
      </c>
      <c r="H61" s="1246">
        <f t="shared" si="2"/>
        <v>42120</v>
      </c>
      <c r="I61" s="1247">
        <v>39000</v>
      </c>
      <c r="J61" s="1247">
        <f t="shared" si="3"/>
        <v>39000</v>
      </c>
    </row>
    <row r="62" spans="1:10">
      <c r="A62" s="1243">
        <v>60</v>
      </c>
      <c r="B62" s="1244" t="s">
        <v>838</v>
      </c>
      <c r="C62" s="1243" t="s">
        <v>366</v>
      </c>
      <c r="D62" s="1243">
        <v>1</v>
      </c>
      <c r="E62" s="1245">
        <v>950000</v>
      </c>
      <c r="F62" s="1246">
        <f t="shared" si="0"/>
        <v>76000</v>
      </c>
      <c r="G62" s="1246">
        <f t="shared" si="1"/>
        <v>1026000</v>
      </c>
      <c r="H62" s="1246">
        <f t="shared" si="2"/>
        <v>1026000</v>
      </c>
      <c r="I62" s="1247">
        <v>950000</v>
      </c>
      <c r="J62" s="1247">
        <f t="shared" si="3"/>
        <v>950000</v>
      </c>
    </row>
    <row r="63" spans="1:10">
      <c r="A63" s="1243">
        <v>61</v>
      </c>
      <c r="B63" s="1244" t="s">
        <v>375</v>
      </c>
      <c r="C63" s="1243" t="s">
        <v>366</v>
      </c>
      <c r="D63" s="1243">
        <v>1</v>
      </c>
      <c r="E63" s="1245">
        <v>190000</v>
      </c>
      <c r="F63" s="1246">
        <f t="shared" si="0"/>
        <v>15200</v>
      </c>
      <c r="G63" s="1246">
        <f t="shared" si="1"/>
        <v>205200</v>
      </c>
      <c r="H63" s="1246">
        <f t="shared" si="2"/>
        <v>205200</v>
      </c>
      <c r="I63" s="1247">
        <v>185000</v>
      </c>
      <c r="J63" s="1247">
        <f t="shared" si="3"/>
        <v>185000</v>
      </c>
    </row>
    <row r="64" spans="1:10">
      <c r="A64" s="1243">
        <v>62</v>
      </c>
      <c r="B64" s="1244" t="s">
        <v>839</v>
      </c>
      <c r="C64" s="1243" t="s">
        <v>366</v>
      </c>
      <c r="D64" s="1243">
        <v>1</v>
      </c>
      <c r="E64" s="1245">
        <v>4000</v>
      </c>
      <c r="F64" s="1246">
        <f t="shared" si="0"/>
        <v>320</v>
      </c>
      <c r="G64" s="1246">
        <f t="shared" si="1"/>
        <v>4320</v>
      </c>
      <c r="H64" s="1246">
        <f t="shared" si="2"/>
        <v>4320</v>
      </c>
      <c r="I64" s="1247">
        <v>3500</v>
      </c>
      <c r="J64" s="1247">
        <f t="shared" si="3"/>
        <v>3500</v>
      </c>
    </row>
    <row r="65" spans="1:11">
      <c r="A65" s="1243">
        <v>63</v>
      </c>
      <c r="B65" s="1244" t="s">
        <v>371</v>
      </c>
      <c r="C65" s="1243" t="s">
        <v>840</v>
      </c>
      <c r="D65" s="1243">
        <v>1</v>
      </c>
      <c r="E65" s="1245">
        <v>2096000</v>
      </c>
      <c r="F65" s="1246">
        <f t="shared" si="0"/>
        <v>167680</v>
      </c>
      <c r="G65" s="1246">
        <f t="shared" si="1"/>
        <v>2263680</v>
      </c>
      <c r="H65" s="1246">
        <f t="shared" si="2"/>
        <v>2263680</v>
      </c>
      <c r="I65" s="1247">
        <v>1125000</v>
      </c>
      <c r="J65" s="1247">
        <f t="shared" si="3"/>
        <v>1125000</v>
      </c>
    </row>
    <row r="66" spans="1:11">
      <c r="A66" s="1243">
        <v>64</v>
      </c>
      <c r="B66" s="1244" t="s">
        <v>372</v>
      </c>
      <c r="C66" s="1243" t="s">
        <v>840</v>
      </c>
      <c r="D66" s="1243">
        <v>1</v>
      </c>
      <c r="E66" s="1245">
        <v>21000</v>
      </c>
      <c r="F66" s="1246">
        <f t="shared" si="0"/>
        <v>1680</v>
      </c>
      <c r="G66" s="1246">
        <f t="shared" si="1"/>
        <v>22680</v>
      </c>
      <c r="H66" s="1246">
        <f t="shared" si="2"/>
        <v>22680</v>
      </c>
      <c r="I66" s="1247">
        <v>15000</v>
      </c>
      <c r="J66" s="1247">
        <f t="shared" si="3"/>
        <v>15000</v>
      </c>
    </row>
    <row r="67" spans="1:11">
      <c r="A67" s="1243">
        <v>65</v>
      </c>
      <c r="B67" s="1244" t="s">
        <v>373</v>
      </c>
      <c r="C67" s="1243" t="s">
        <v>840</v>
      </c>
      <c r="D67" s="1243">
        <v>1</v>
      </c>
      <c r="E67" s="1245">
        <v>1120000</v>
      </c>
      <c r="F67" s="1246">
        <f t="shared" si="0"/>
        <v>89600</v>
      </c>
      <c r="G67" s="1246">
        <f t="shared" si="1"/>
        <v>1209600</v>
      </c>
      <c r="H67" s="1246">
        <f t="shared" si="2"/>
        <v>1209600</v>
      </c>
      <c r="I67" s="1247">
        <v>530000</v>
      </c>
      <c r="J67" s="1247">
        <f t="shared" si="3"/>
        <v>530000</v>
      </c>
    </row>
    <row r="68" spans="1:11">
      <c r="A68" s="1243">
        <v>66</v>
      </c>
      <c r="B68" s="1244" t="s">
        <v>377</v>
      </c>
      <c r="C68" s="1243" t="s">
        <v>840</v>
      </c>
      <c r="D68" s="1243">
        <v>1</v>
      </c>
      <c r="E68" s="1245">
        <v>136000</v>
      </c>
      <c r="F68" s="1246">
        <f t="shared" si="0"/>
        <v>10880</v>
      </c>
      <c r="G68" s="1246">
        <f t="shared" si="1"/>
        <v>146880</v>
      </c>
      <c r="H68" s="1246">
        <f t="shared" ref="H68:H131" si="4">G68*D68</f>
        <v>146880</v>
      </c>
      <c r="I68" s="1247">
        <v>85000</v>
      </c>
      <c r="J68" s="1247">
        <f t="shared" si="3"/>
        <v>85000</v>
      </c>
    </row>
    <row r="69" spans="1:11">
      <c r="A69" s="1243">
        <v>67</v>
      </c>
      <c r="B69" s="1244" t="s">
        <v>841</v>
      </c>
      <c r="C69" s="1243" t="s">
        <v>366</v>
      </c>
      <c r="D69" s="1243">
        <v>1</v>
      </c>
      <c r="E69" s="1245">
        <f>VLOOKUP($B69,'[1]DONGIA_T6.2025 (PL5)'!$B$5:$H$295,4,0)</f>
        <v>16500</v>
      </c>
      <c r="F69" s="1246">
        <f t="shared" si="0"/>
        <v>1320</v>
      </c>
      <c r="G69" s="1246">
        <f t="shared" si="1"/>
        <v>17820</v>
      </c>
      <c r="H69" s="1246">
        <f t="shared" si="4"/>
        <v>17820</v>
      </c>
      <c r="I69" s="1247">
        <v>16500</v>
      </c>
      <c r="J69" s="1247">
        <f t="shared" si="3"/>
        <v>16500</v>
      </c>
    </row>
    <row r="70" spans="1:11">
      <c r="A70" s="1243">
        <v>68</v>
      </c>
      <c r="B70" s="1244" t="s">
        <v>842</v>
      </c>
      <c r="C70" s="1243" t="s">
        <v>366</v>
      </c>
      <c r="D70" s="1243">
        <v>1</v>
      </c>
      <c r="E70" s="1245">
        <v>450000</v>
      </c>
      <c r="F70" s="1246">
        <f t="shared" si="0"/>
        <v>36000</v>
      </c>
      <c r="G70" s="1246">
        <f t="shared" si="1"/>
        <v>486000</v>
      </c>
      <c r="H70" s="1246">
        <f t="shared" si="4"/>
        <v>486000</v>
      </c>
      <c r="I70" s="1247">
        <v>480000</v>
      </c>
      <c r="J70" s="1247">
        <f t="shared" si="3"/>
        <v>480000</v>
      </c>
    </row>
    <row r="71" spans="1:11" ht="28.5">
      <c r="A71" s="1243">
        <v>69</v>
      </c>
      <c r="B71" s="1244" t="s">
        <v>843</v>
      </c>
      <c r="C71" s="1243" t="s">
        <v>366</v>
      </c>
      <c r="D71" s="1243">
        <v>1</v>
      </c>
      <c r="E71" s="1261">
        <f>VLOOKUP($B71,'[2]DONGIA_T6.2025 (PL5)'!$B$5:$H$295,4,0)</f>
        <v>29500</v>
      </c>
      <c r="F71" s="1246">
        <f t="shared" si="0"/>
        <v>2360</v>
      </c>
      <c r="G71" s="1246">
        <f t="shared" si="1"/>
        <v>31860</v>
      </c>
      <c r="H71" s="1246">
        <f t="shared" si="4"/>
        <v>31860</v>
      </c>
      <c r="I71" s="1247">
        <v>17000</v>
      </c>
      <c r="J71" s="1247">
        <f t="shared" si="3"/>
        <v>17000</v>
      </c>
      <c r="K71" s="1248" t="s">
        <v>844</v>
      </c>
    </row>
    <row r="72" spans="1:11" ht="28.5">
      <c r="A72" s="1243">
        <v>70</v>
      </c>
      <c r="B72" s="1244" t="s">
        <v>845</v>
      </c>
      <c r="C72" s="1243" t="s">
        <v>376</v>
      </c>
      <c r="D72" s="1243">
        <v>1</v>
      </c>
      <c r="E72" s="1245">
        <v>95000</v>
      </c>
      <c r="F72" s="1246">
        <f t="shared" si="0"/>
        <v>7600</v>
      </c>
      <c r="G72" s="1246">
        <f t="shared" si="1"/>
        <v>102600</v>
      </c>
      <c r="H72" s="1246">
        <f t="shared" si="4"/>
        <v>102600</v>
      </c>
      <c r="I72" s="1247">
        <v>58000</v>
      </c>
      <c r="J72" s="1247">
        <f t="shared" si="3"/>
        <v>58000</v>
      </c>
    </row>
    <row r="73" spans="1:11">
      <c r="A73" s="1243">
        <v>71</v>
      </c>
      <c r="B73" s="1244" t="s">
        <v>846</v>
      </c>
      <c r="C73" s="1243" t="s">
        <v>366</v>
      </c>
      <c r="D73" s="1243">
        <v>1</v>
      </c>
      <c r="E73" s="1245">
        <f>VLOOKUP($B73,'[1]DONGIA_T6.2025 (PL5)'!$B$5:$H$295,4,0)</f>
        <v>194383</v>
      </c>
      <c r="F73" s="1246">
        <f t="shared" si="0"/>
        <v>15550.64</v>
      </c>
      <c r="G73" s="1246">
        <f t="shared" si="1"/>
        <v>209933.64</v>
      </c>
      <c r="H73" s="1246">
        <f t="shared" si="4"/>
        <v>209933.64</v>
      </c>
      <c r="I73" s="1247">
        <v>25200</v>
      </c>
      <c r="J73" s="1247">
        <f t="shared" si="3"/>
        <v>25200</v>
      </c>
    </row>
    <row r="74" spans="1:11">
      <c r="A74" s="1243">
        <v>72</v>
      </c>
      <c r="B74" s="1244" t="s">
        <v>847</v>
      </c>
      <c r="C74" s="1243" t="s">
        <v>366</v>
      </c>
      <c r="D74" s="1243">
        <v>1</v>
      </c>
      <c r="E74" s="1245">
        <f>VLOOKUP($B74,'[1]DONGIA_T6.2025 (PL5)'!$B$5:$H$295,4,0)</f>
        <v>164000</v>
      </c>
      <c r="F74" s="1246">
        <f t="shared" si="0"/>
        <v>13120</v>
      </c>
      <c r="G74" s="1246">
        <f t="shared" si="1"/>
        <v>177120</v>
      </c>
      <c r="H74" s="1246">
        <f t="shared" si="4"/>
        <v>177120</v>
      </c>
      <c r="I74" s="1247">
        <v>105000</v>
      </c>
      <c r="J74" s="1247">
        <f t="shared" ref="J74:J78" si="5">I74</f>
        <v>105000</v>
      </c>
    </row>
    <row r="75" spans="1:11">
      <c r="A75" s="1243">
        <v>73</v>
      </c>
      <c r="B75" s="1249" t="s">
        <v>848</v>
      </c>
      <c r="C75" s="1243" t="s">
        <v>366</v>
      </c>
      <c r="D75" s="1243">
        <v>1</v>
      </c>
      <c r="E75" s="1245">
        <f>VLOOKUP($B75,'[1]DONGIA_T6.2025 (PL5)'!$B$5:$H$295,4,0)</f>
        <v>3220000</v>
      </c>
      <c r="F75" s="1246">
        <f t="shared" si="0"/>
        <v>257600</v>
      </c>
      <c r="G75" s="1246">
        <f t="shared" si="1"/>
        <v>3477600</v>
      </c>
      <c r="H75" s="1246">
        <f t="shared" si="4"/>
        <v>3477600</v>
      </c>
      <c r="I75" s="1247">
        <v>5050000</v>
      </c>
      <c r="J75" s="1247">
        <f t="shared" si="5"/>
        <v>5050000</v>
      </c>
    </row>
    <row r="76" spans="1:11">
      <c r="A76" s="1243">
        <v>74</v>
      </c>
      <c r="B76" s="1244" t="s">
        <v>849</v>
      </c>
      <c r="C76" s="1243" t="s">
        <v>366</v>
      </c>
      <c r="D76" s="1243">
        <v>1</v>
      </c>
      <c r="E76" s="1245">
        <f>VLOOKUP($B76,'[1]DONGIA_T6.2025 (PL5)'!$B$5:$H$295,4,0)</f>
        <v>1380000</v>
      </c>
      <c r="F76" s="1246">
        <f t="shared" si="0"/>
        <v>110400</v>
      </c>
      <c r="G76" s="1246">
        <f t="shared" si="1"/>
        <v>1490400</v>
      </c>
      <c r="H76" s="1246">
        <f t="shared" si="4"/>
        <v>1490400</v>
      </c>
      <c r="I76" s="1247">
        <v>1290000</v>
      </c>
      <c r="J76" s="1247">
        <f t="shared" si="5"/>
        <v>1290000</v>
      </c>
    </row>
    <row r="77" spans="1:11">
      <c r="A77" s="1243">
        <v>75</v>
      </c>
      <c r="B77" s="1244" t="s">
        <v>850</v>
      </c>
      <c r="C77" s="1243" t="s">
        <v>366</v>
      </c>
      <c r="D77" s="1243">
        <v>1</v>
      </c>
      <c r="E77" s="1245">
        <f>VLOOKUP($B77,'[1]DONGIA_T6.2025 (PL5)'!$B$5:$H$295,4,0)</f>
        <v>390000</v>
      </c>
      <c r="F77" s="1246">
        <f t="shared" si="0"/>
        <v>31200</v>
      </c>
      <c r="G77" s="1246">
        <f t="shared" si="1"/>
        <v>421200</v>
      </c>
      <c r="H77" s="1246">
        <f t="shared" si="4"/>
        <v>421200</v>
      </c>
      <c r="I77" s="1247">
        <v>390000</v>
      </c>
      <c r="J77" s="1247">
        <f t="shared" si="5"/>
        <v>390000</v>
      </c>
    </row>
    <row r="78" spans="1:11">
      <c r="A78" s="1243">
        <v>76</v>
      </c>
      <c r="B78" s="1244" t="s">
        <v>851</v>
      </c>
      <c r="C78" s="1243" t="s">
        <v>366</v>
      </c>
      <c r="D78" s="1243">
        <v>1</v>
      </c>
      <c r="E78" s="1245">
        <f>VLOOKUP($B78,'[1]DONGIA_T6.2025 (PL5)'!$B$5:$H$295,4,0)</f>
        <v>8590000</v>
      </c>
      <c r="F78" s="1246">
        <f t="shared" si="0"/>
        <v>687200</v>
      </c>
      <c r="G78" s="1246">
        <f t="shared" si="1"/>
        <v>9277200</v>
      </c>
      <c r="H78" s="1246">
        <f t="shared" si="4"/>
        <v>9277200</v>
      </c>
      <c r="I78" s="1247">
        <v>9390000</v>
      </c>
      <c r="J78" s="1247">
        <f t="shared" si="5"/>
        <v>9390000</v>
      </c>
    </row>
    <row r="79" spans="1:11" s="1256" customFormat="1">
      <c r="A79" s="1251">
        <v>77</v>
      </c>
      <c r="B79" s="1263" t="s">
        <v>852</v>
      </c>
      <c r="C79" s="1251" t="s">
        <v>853</v>
      </c>
      <c r="D79" s="1251"/>
      <c r="E79" s="1265"/>
      <c r="F79" s="1254"/>
      <c r="G79" s="1254"/>
      <c r="H79" s="1246">
        <f t="shared" si="4"/>
        <v>0</v>
      </c>
      <c r="I79" s="1255">
        <v>0</v>
      </c>
      <c r="J79" s="1255">
        <v>0</v>
      </c>
      <c r="K79" s="1248"/>
    </row>
    <row r="80" spans="1:11">
      <c r="A80" s="1266" t="s">
        <v>107</v>
      </c>
      <c r="B80" s="1267" t="s">
        <v>854</v>
      </c>
      <c r="C80" s="1234"/>
      <c r="D80" s="1234"/>
      <c r="E80" s="1235"/>
      <c r="F80" s="1235"/>
      <c r="G80" s="1236"/>
      <c r="H80" s="1246">
        <f t="shared" si="4"/>
        <v>0</v>
      </c>
      <c r="I80" s="1237"/>
      <c r="J80" s="1237"/>
      <c r="K80" s="1242"/>
    </row>
    <row r="81" spans="1:12">
      <c r="A81" s="1243">
        <v>1</v>
      </c>
      <c r="B81" s="1268" t="s">
        <v>855</v>
      </c>
      <c r="C81" s="1243" t="s">
        <v>366</v>
      </c>
      <c r="D81" s="1243">
        <v>1</v>
      </c>
      <c r="E81" s="1245">
        <v>19320000</v>
      </c>
      <c r="F81" s="1246">
        <v>1545600</v>
      </c>
      <c r="G81" s="1246">
        <v>19320000</v>
      </c>
      <c r="H81" s="1246">
        <f t="shared" si="4"/>
        <v>19320000</v>
      </c>
      <c r="I81" s="1247">
        <v>22299000</v>
      </c>
      <c r="J81" s="1247">
        <v>22299000</v>
      </c>
      <c r="K81" s="1242"/>
      <c r="L81" s="1269"/>
    </row>
    <row r="82" spans="1:12">
      <c r="A82" s="1270">
        <v>2</v>
      </c>
      <c r="B82" s="1271" t="s">
        <v>856</v>
      </c>
      <c r="C82" s="1272" t="s">
        <v>366</v>
      </c>
      <c r="D82" s="1243">
        <v>1</v>
      </c>
      <c r="E82" s="1245">
        <v>122601500</v>
      </c>
      <c r="F82" s="1246">
        <v>9808120</v>
      </c>
      <c r="G82" s="1246">
        <v>122601500</v>
      </c>
      <c r="H82" s="1246">
        <f t="shared" si="4"/>
        <v>122601500</v>
      </c>
      <c r="I82" s="1247">
        <v>173687000</v>
      </c>
      <c r="J82" s="1247">
        <v>173687000</v>
      </c>
      <c r="K82" s="1242"/>
      <c r="L82" s="1269"/>
    </row>
    <row r="83" spans="1:12">
      <c r="A83" s="1243">
        <v>3</v>
      </c>
      <c r="B83" s="1249" t="s">
        <v>857</v>
      </c>
      <c r="C83" s="1243" t="s">
        <v>366</v>
      </c>
      <c r="D83" s="1243">
        <v>1</v>
      </c>
      <c r="E83" s="1245">
        <v>14710800</v>
      </c>
      <c r="F83" s="1246">
        <v>1176864</v>
      </c>
      <c r="G83" s="1246">
        <v>14710800</v>
      </c>
      <c r="H83" s="1246">
        <f t="shared" si="4"/>
        <v>14710800</v>
      </c>
      <c r="I83" s="1247">
        <v>14200000</v>
      </c>
      <c r="J83" s="1247">
        <v>14200000</v>
      </c>
      <c r="K83" s="1242"/>
      <c r="L83" s="1269"/>
    </row>
    <row r="84" spans="1:12">
      <c r="A84" s="1270">
        <v>4</v>
      </c>
      <c r="B84" s="1273" t="s">
        <v>858</v>
      </c>
      <c r="C84" s="1243" t="s">
        <v>366</v>
      </c>
      <c r="D84" s="1243">
        <v>1</v>
      </c>
      <c r="E84" s="1245">
        <v>22236000</v>
      </c>
      <c r="F84" s="1246">
        <v>1778880</v>
      </c>
      <c r="G84" s="1246">
        <v>22236000</v>
      </c>
      <c r="H84" s="1246">
        <f t="shared" si="4"/>
        <v>22236000</v>
      </c>
      <c r="I84" s="1247">
        <v>25499000</v>
      </c>
      <c r="J84" s="1247">
        <v>25499000</v>
      </c>
      <c r="K84" s="1242"/>
      <c r="L84" s="1269"/>
    </row>
    <row r="85" spans="1:12">
      <c r="A85" s="1243">
        <v>5</v>
      </c>
      <c r="B85" s="1249" t="s">
        <v>859</v>
      </c>
      <c r="C85" s="1243" t="s">
        <v>366</v>
      </c>
      <c r="D85" s="1243">
        <v>1</v>
      </c>
      <c r="E85" s="1245">
        <v>6164000</v>
      </c>
      <c r="F85" s="1246">
        <v>493120</v>
      </c>
      <c r="G85" s="1246">
        <v>6164000</v>
      </c>
      <c r="H85" s="1246">
        <f t="shared" si="4"/>
        <v>6164000</v>
      </c>
      <c r="I85" s="1247">
        <v>9150000</v>
      </c>
      <c r="J85" s="1247">
        <v>9150000</v>
      </c>
      <c r="K85" s="1242"/>
      <c r="L85" s="1269"/>
    </row>
    <row r="86" spans="1:12">
      <c r="A86" s="1270">
        <v>6</v>
      </c>
      <c r="B86" s="1271" t="s">
        <v>860</v>
      </c>
      <c r="C86" s="1272" t="s">
        <v>366</v>
      </c>
      <c r="D86" s="1243">
        <v>1</v>
      </c>
      <c r="E86" s="1245">
        <v>7360000</v>
      </c>
      <c r="F86" s="1246">
        <v>588800</v>
      </c>
      <c r="G86" s="1246">
        <v>7360000</v>
      </c>
      <c r="H86" s="1246">
        <f t="shared" si="4"/>
        <v>7360000</v>
      </c>
      <c r="I86" s="1247">
        <v>7930000</v>
      </c>
      <c r="J86" s="1247">
        <v>7930000</v>
      </c>
      <c r="K86" s="1242"/>
      <c r="L86" s="1269"/>
    </row>
    <row r="87" spans="1:12">
      <c r="A87" s="1243">
        <v>7</v>
      </c>
      <c r="B87" s="1249" t="s">
        <v>861</v>
      </c>
      <c r="C87" s="1243" t="s">
        <v>366</v>
      </c>
      <c r="D87" s="1243">
        <v>1</v>
      </c>
      <c r="E87" s="1245">
        <v>7820000</v>
      </c>
      <c r="F87" s="1246">
        <v>625600</v>
      </c>
      <c r="G87" s="1246">
        <v>7820000</v>
      </c>
      <c r="H87" s="1246">
        <f t="shared" si="4"/>
        <v>7820000</v>
      </c>
      <c r="I87" s="1247">
        <v>9200000</v>
      </c>
      <c r="J87" s="1247">
        <v>9200000</v>
      </c>
      <c r="K87" s="1242"/>
      <c r="L87" s="1269"/>
    </row>
    <row r="88" spans="1:12">
      <c r="A88" s="1270">
        <v>8</v>
      </c>
      <c r="B88" s="1271" t="s">
        <v>862</v>
      </c>
      <c r="C88" s="1272" t="s">
        <v>366</v>
      </c>
      <c r="D88" s="1243">
        <v>1</v>
      </c>
      <c r="E88" s="1245">
        <v>5800000</v>
      </c>
      <c r="F88" s="1246">
        <v>464000</v>
      </c>
      <c r="G88" s="1246">
        <v>5800000</v>
      </c>
      <c r="H88" s="1246">
        <f t="shared" si="4"/>
        <v>5800000</v>
      </c>
      <c r="I88" s="1247">
        <v>5450000</v>
      </c>
      <c r="J88" s="1247">
        <v>5450000</v>
      </c>
      <c r="K88" s="1242"/>
      <c r="L88" s="1269"/>
    </row>
    <row r="89" spans="1:12">
      <c r="A89" s="1243">
        <v>9</v>
      </c>
      <c r="B89" s="1271" t="s">
        <v>863</v>
      </c>
      <c r="C89" s="1272" t="s">
        <v>366</v>
      </c>
      <c r="D89" s="1243">
        <v>1</v>
      </c>
      <c r="E89" s="1245">
        <v>3050000</v>
      </c>
      <c r="F89" s="1246">
        <v>244000</v>
      </c>
      <c r="G89" s="1246">
        <v>3050000</v>
      </c>
      <c r="H89" s="1246">
        <f t="shared" si="4"/>
        <v>3050000</v>
      </c>
      <c r="I89" s="1247">
        <v>3355000.0000000005</v>
      </c>
      <c r="J89" s="1247">
        <v>3355000.0000000005</v>
      </c>
      <c r="K89" s="1242"/>
      <c r="L89" s="1269"/>
    </row>
    <row r="90" spans="1:12">
      <c r="A90" s="1270">
        <v>10</v>
      </c>
      <c r="B90" s="1271" t="s">
        <v>790</v>
      </c>
      <c r="C90" s="1272" t="s">
        <v>366</v>
      </c>
      <c r="D90" s="1243">
        <v>1</v>
      </c>
      <c r="E90" s="1245">
        <v>650000</v>
      </c>
      <c r="F90" s="1246">
        <v>52000</v>
      </c>
      <c r="G90" s="1246">
        <v>650000</v>
      </c>
      <c r="H90" s="1246">
        <f t="shared" si="4"/>
        <v>650000</v>
      </c>
      <c r="I90" s="1247">
        <v>590000</v>
      </c>
      <c r="J90" s="1247">
        <v>590000</v>
      </c>
      <c r="K90" s="1242"/>
      <c r="L90" s="1269"/>
    </row>
    <row r="91" spans="1:12" ht="42.75">
      <c r="A91" s="1243">
        <v>11</v>
      </c>
      <c r="B91" s="1271" t="s">
        <v>864</v>
      </c>
      <c r="C91" s="1272" t="s">
        <v>865</v>
      </c>
      <c r="D91" s="1243">
        <v>1</v>
      </c>
      <c r="E91" s="1245">
        <v>11000000</v>
      </c>
      <c r="F91" s="1246">
        <v>880000</v>
      </c>
      <c r="G91" s="1246">
        <v>11000000</v>
      </c>
      <c r="H91" s="1246">
        <f t="shared" si="4"/>
        <v>11000000</v>
      </c>
      <c r="I91" s="1247">
        <v>11000000</v>
      </c>
      <c r="J91" s="1247">
        <v>11000000</v>
      </c>
      <c r="K91" s="1242"/>
      <c r="L91" s="1269"/>
    </row>
    <row r="92" spans="1:12">
      <c r="A92" s="1270">
        <v>12</v>
      </c>
      <c r="B92" s="1271" t="s">
        <v>412</v>
      </c>
      <c r="C92" s="1272" t="s">
        <v>366</v>
      </c>
      <c r="D92" s="1243">
        <v>1</v>
      </c>
      <c r="E92" s="1245">
        <v>115000000</v>
      </c>
      <c r="F92" s="1246">
        <v>9200000</v>
      </c>
      <c r="G92" s="1246">
        <v>115000000</v>
      </c>
      <c r="H92" s="1246">
        <f t="shared" si="4"/>
        <v>115000000</v>
      </c>
      <c r="I92" s="1247">
        <v>108900000.00000001</v>
      </c>
      <c r="J92" s="1247">
        <v>108900000.00000001</v>
      </c>
      <c r="K92" s="1242"/>
      <c r="L92" s="1269"/>
    </row>
    <row r="93" spans="1:12">
      <c r="A93" s="1243">
        <v>13</v>
      </c>
      <c r="B93" s="1249" t="s">
        <v>866</v>
      </c>
      <c r="C93" s="1243" t="s">
        <v>366</v>
      </c>
      <c r="D93" s="1243">
        <v>1</v>
      </c>
      <c r="E93" s="1245">
        <v>44454000</v>
      </c>
      <c r="F93" s="1246">
        <v>3556320</v>
      </c>
      <c r="G93" s="1246">
        <v>44454000</v>
      </c>
      <c r="H93" s="1246">
        <f t="shared" si="4"/>
        <v>44454000</v>
      </c>
      <c r="I93" s="1247">
        <v>39400000</v>
      </c>
      <c r="J93" s="1247">
        <v>39400000</v>
      </c>
      <c r="K93" s="1242"/>
      <c r="L93" s="1269"/>
    </row>
    <row r="94" spans="1:12">
      <c r="A94" s="1270">
        <v>14</v>
      </c>
      <c r="B94" s="1249" t="s">
        <v>867</v>
      </c>
      <c r="C94" s="1272" t="s">
        <v>366</v>
      </c>
      <c r="D94" s="1243">
        <v>1</v>
      </c>
      <c r="E94" s="1245">
        <v>28050000</v>
      </c>
      <c r="F94" s="1246">
        <v>2244000</v>
      </c>
      <c r="G94" s="1246">
        <v>28050000</v>
      </c>
      <c r="H94" s="1246">
        <f t="shared" si="4"/>
        <v>28050000</v>
      </c>
      <c r="I94" s="1247">
        <v>31350000</v>
      </c>
      <c r="J94" s="1247">
        <v>31350000</v>
      </c>
      <c r="K94" s="1242"/>
      <c r="L94" s="1269"/>
    </row>
    <row r="95" spans="1:12">
      <c r="A95" s="1243">
        <v>15</v>
      </c>
      <c r="B95" s="1244" t="s">
        <v>868</v>
      </c>
      <c r="C95" s="1243" t="s">
        <v>366</v>
      </c>
      <c r="D95" s="1243">
        <v>1</v>
      </c>
      <c r="E95" s="1245">
        <v>64900000</v>
      </c>
      <c r="F95" s="1246">
        <v>5192000</v>
      </c>
      <c r="G95" s="1246">
        <v>64900000</v>
      </c>
      <c r="H95" s="1246">
        <f t="shared" si="4"/>
        <v>64900000</v>
      </c>
      <c r="I95" s="1247">
        <v>63990000</v>
      </c>
      <c r="J95" s="1247">
        <v>63990000</v>
      </c>
      <c r="K95" s="1242"/>
      <c r="L95" s="1269"/>
    </row>
    <row r="96" spans="1:12">
      <c r="A96" s="1270">
        <v>16</v>
      </c>
      <c r="B96" s="1244" t="s">
        <v>869</v>
      </c>
      <c r="C96" s="1243" t="s">
        <v>366</v>
      </c>
      <c r="D96" s="1243">
        <v>1</v>
      </c>
      <c r="E96" s="1245">
        <v>13372000</v>
      </c>
      <c r="F96" s="1246">
        <v>1069760</v>
      </c>
      <c r="G96" s="1246">
        <v>13372000</v>
      </c>
      <c r="H96" s="1246">
        <f t="shared" si="4"/>
        <v>13372000</v>
      </c>
      <c r="I96" s="1247">
        <v>15900000</v>
      </c>
      <c r="J96" s="1247">
        <v>15900000</v>
      </c>
      <c r="K96" s="1242"/>
      <c r="L96" s="1269"/>
    </row>
    <row r="97" spans="1:12" ht="28.5">
      <c r="A97" s="1243">
        <v>17</v>
      </c>
      <c r="B97" s="1257" t="s">
        <v>870</v>
      </c>
      <c r="C97" s="1272" t="s">
        <v>380</v>
      </c>
      <c r="D97" s="1243">
        <v>1</v>
      </c>
      <c r="E97" s="1245">
        <v>11000000</v>
      </c>
      <c r="F97" s="1246">
        <v>880000</v>
      </c>
      <c r="G97" s="1246">
        <v>11000000</v>
      </c>
      <c r="H97" s="1246">
        <f t="shared" si="4"/>
        <v>11000000</v>
      </c>
      <c r="I97" s="1247">
        <v>16390000</v>
      </c>
      <c r="J97" s="1247">
        <v>16390000</v>
      </c>
      <c r="K97" s="1242" t="s">
        <v>871</v>
      </c>
      <c r="L97" s="1269"/>
    </row>
    <row r="98" spans="1:12">
      <c r="A98" s="1270">
        <v>18</v>
      </c>
      <c r="B98" s="1271" t="s">
        <v>872</v>
      </c>
      <c r="C98" s="1272" t="s">
        <v>380</v>
      </c>
      <c r="D98" s="1243">
        <v>1</v>
      </c>
      <c r="E98" s="1245">
        <v>31000000</v>
      </c>
      <c r="F98" s="1246">
        <v>2480000</v>
      </c>
      <c r="G98" s="1246">
        <v>31000000</v>
      </c>
      <c r="H98" s="1246">
        <f t="shared" si="4"/>
        <v>31000000</v>
      </c>
      <c r="I98" s="1247">
        <v>33480000</v>
      </c>
      <c r="J98" s="1247">
        <v>33480000</v>
      </c>
      <c r="K98" s="1242"/>
      <c r="L98" s="1269"/>
    </row>
    <row r="99" spans="1:12">
      <c r="A99" s="1243">
        <v>19</v>
      </c>
      <c r="B99" s="1271" t="s">
        <v>873</v>
      </c>
      <c r="C99" s="1272" t="s">
        <v>366</v>
      </c>
      <c r="D99" s="1243">
        <v>1</v>
      </c>
      <c r="E99" s="1261">
        <v>198000000</v>
      </c>
      <c r="F99" s="1246">
        <f t="shared" ref="F99" si="6">E99*8%</f>
        <v>15840000</v>
      </c>
      <c r="G99" s="1246">
        <f t="shared" ref="G99" si="7">E99+F99</f>
        <v>213840000</v>
      </c>
      <c r="H99" s="1246">
        <f t="shared" si="4"/>
        <v>213840000</v>
      </c>
      <c r="I99" s="1246">
        <v>242000000</v>
      </c>
      <c r="J99" s="1246">
        <v>242000000</v>
      </c>
      <c r="K99" s="1242"/>
      <c r="L99" s="1269"/>
    </row>
    <row r="100" spans="1:12">
      <c r="A100" s="1270">
        <v>20</v>
      </c>
      <c r="B100" s="1271" t="s">
        <v>874</v>
      </c>
      <c r="C100" s="1272" t="s">
        <v>366</v>
      </c>
      <c r="D100" s="1243">
        <v>1</v>
      </c>
      <c r="E100" s="1245">
        <v>125000000</v>
      </c>
      <c r="F100" s="1246">
        <v>10000000</v>
      </c>
      <c r="G100" s="1246">
        <v>125000000</v>
      </c>
      <c r="H100" s="1246">
        <f t="shared" si="4"/>
        <v>125000000</v>
      </c>
      <c r="I100" s="1247">
        <v>106590000.00000001</v>
      </c>
      <c r="J100" s="1247">
        <v>106590000.00000001</v>
      </c>
      <c r="K100" s="1242"/>
      <c r="L100" s="1269"/>
    </row>
    <row r="101" spans="1:12" ht="28.5">
      <c r="A101" s="1243">
        <v>21</v>
      </c>
      <c r="B101" s="1271" t="s">
        <v>875</v>
      </c>
      <c r="C101" s="1272" t="s">
        <v>876</v>
      </c>
      <c r="D101" s="1243">
        <v>1</v>
      </c>
      <c r="E101" s="1245">
        <v>8580000</v>
      </c>
      <c r="F101" s="1246">
        <v>686400</v>
      </c>
      <c r="G101" s="1246">
        <v>8580000</v>
      </c>
      <c r="H101" s="1246">
        <f t="shared" si="4"/>
        <v>8580000</v>
      </c>
      <c r="I101" s="1247">
        <v>68900000</v>
      </c>
      <c r="J101" s="1247">
        <v>68900000</v>
      </c>
      <c r="K101" s="1242"/>
      <c r="L101" s="1269"/>
    </row>
    <row r="102" spans="1:12">
      <c r="A102" s="1270">
        <v>22</v>
      </c>
      <c r="B102" s="1271" t="s">
        <v>877</v>
      </c>
      <c r="C102" s="1272" t="s">
        <v>380</v>
      </c>
      <c r="D102" s="1243">
        <v>1</v>
      </c>
      <c r="E102" s="1245">
        <v>6601000</v>
      </c>
      <c r="F102" s="1246">
        <v>528080</v>
      </c>
      <c r="G102" s="1246">
        <v>6601000</v>
      </c>
      <c r="H102" s="1246">
        <f t="shared" si="4"/>
        <v>6601000</v>
      </c>
      <c r="I102" s="1247">
        <v>7130000</v>
      </c>
      <c r="J102" s="1247">
        <v>7130000</v>
      </c>
      <c r="K102" s="1242"/>
      <c r="L102" s="1269"/>
    </row>
    <row r="103" spans="1:12">
      <c r="A103" s="1243">
        <v>23</v>
      </c>
      <c r="B103" s="1274" t="s">
        <v>878</v>
      </c>
      <c r="C103" s="1275" t="s">
        <v>380</v>
      </c>
      <c r="D103" s="1276">
        <v>1</v>
      </c>
      <c r="E103" s="1277">
        <f>5434*26300</f>
        <v>142914200</v>
      </c>
      <c r="F103" s="1278">
        <f>E103*8%</f>
        <v>11433136</v>
      </c>
      <c r="G103" s="1278">
        <f>ROUND(E103+F103,-6)</f>
        <v>154000000</v>
      </c>
      <c r="H103" s="1278">
        <f t="shared" si="4"/>
        <v>154000000</v>
      </c>
      <c r="I103" s="1383">
        <v>109000000</v>
      </c>
      <c r="J103" s="1383">
        <v>109000000</v>
      </c>
      <c r="K103" s="1385" t="s">
        <v>879</v>
      </c>
      <c r="L103" s="1269"/>
    </row>
    <row r="104" spans="1:12">
      <c r="A104" s="1270">
        <v>24</v>
      </c>
      <c r="B104" s="1274" t="s">
        <v>880</v>
      </c>
      <c r="C104" s="1275" t="s">
        <v>380</v>
      </c>
      <c r="D104" s="1276">
        <v>1</v>
      </c>
      <c r="E104" s="1277">
        <f>5434*26300</f>
        <v>142914200</v>
      </c>
      <c r="F104" s="1278">
        <f>E104*8%</f>
        <v>11433136</v>
      </c>
      <c r="G104" s="1278">
        <f>ROUND(E104+F104,-6)</f>
        <v>154000000</v>
      </c>
      <c r="H104" s="1278">
        <f t="shared" si="4"/>
        <v>154000000</v>
      </c>
      <c r="I104" s="1384"/>
      <c r="J104" s="1384"/>
      <c r="K104" s="1385"/>
      <c r="L104" s="1269"/>
    </row>
    <row r="105" spans="1:12" ht="42.75">
      <c r="A105" s="1243">
        <v>25</v>
      </c>
      <c r="B105" s="1249" t="s">
        <v>792</v>
      </c>
      <c r="C105" s="1243" t="s">
        <v>366</v>
      </c>
      <c r="D105" s="1243">
        <v>1</v>
      </c>
      <c r="E105" s="1261">
        <v>13950000</v>
      </c>
      <c r="F105" s="1246">
        <f t="shared" ref="F105" si="8">E105*8%</f>
        <v>1116000</v>
      </c>
      <c r="G105" s="1279">
        <f t="shared" ref="G105" si="9">E105+F105</f>
        <v>15066000</v>
      </c>
      <c r="H105" s="1246">
        <f t="shared" si="4"/>
        <v>15066000</v>
      </c>
      <c r="I105" s="1247">
        <v>14904000</v>
      </c>
      <c r="J105" s="1247">
        <v>14904000</v>
      </c>
      <c r="K105" s="1242" t="s">
        <v>881</v>
      </c>
      <c r="L105" s="1269"/>
    </row>
    <row r="106" spans="1:12" ht="28.5">
      <c r="A106" s="1270">
        <v>26</v>
      </c>
      <c r="B106" s="1249" t="s">
        <v>882</v>
      </c>
      <c r="C106" s="1243" t="s">
        <v>366</v>
      </c>
      <c r="D106" s="1243">
        <v>1</v>
      </c>
      <c r="E106" s="1245">
        <v>87285000</v>
      </c>
      <c r="F106" s="1246">
        <v>6982800</v>
      </c>
      <c r="G106" s="1246">
        <v>87285000</v>
      </c>
      <c r="H106" s="1246">
        <f t="shared" si="4"/>
        <v>87285000</v>
      </c>
      <c r="I106" s="1247">
        <v>86400000</v>
      </c>
      <c r="J106" s="1247">
        <v>86400000</v>
      </c>
      <c r="K106" s="1242" t="s">
        <v>883</v>
      </c>
      <c r="L106" s="1269"/>
    </row>
    <row r="107" spans="1:12">
      <c r="A107" s="1243">
        <v>27</v>
      </c>
      <c r="B107" s="1249" t="s">
        <v>884</v>
      </c>
      <c r="C107" s="1243" t="s">
        <v>380</v>
      </c>
      <c r="D107" s="1243">
        <v>1</v>
      </c>
      <c r="E107" s="1245">
        <v>128000000</v>
      </c>
      <c r="F107" s="1246">
        <v>10240000</v>
      </c>
      <c r="G107" s="1246">
        <v>128000000</v>
      </c>
      <c r="H107" s="1246">
        <f t="shared" si="4"/>
        <v>128000000</v>
      </c>
      <c r="I107" s="1247">
        <v>135200000</v>
      </c>
      <c r="J107" s="1247">
        <v>135200000</v>
      </c>
      <c r="K107" s="1242"/>
      <c r="L107" s="1269"/>
    </row>
    <row r="108" spans="1:12">
      <c r="A108" s="1270">
        <v>28</v>
      </c>
      <c r="B108" s="1249" t="s">
        <v>885</v>
      </c>
      <c r="C108" s="1243"/>
      <c r="D108" s="1243">
        <v>1</v>
      </c>
      <c r="E108" s="1245">
        <v>12990000</v>
      </c>
      <c r="F108" s="1246">
        <v>1039200</v>
      </c>
      <c r="G108" s="1246">
        <v>12990000</v>
      </c>
      <c r="H108" s="1246">
        <f t="shared" si="4"/>
        <v>12990000</v>
      </c>
      <c r="I108" s="1247">
        <v>14290000</v>
      </c>
      <c r="J108" s="1247">
        <v>14290000</v>
      </c>
      <c r="K108" s="1242"/>
      <c r="L108" s="1269"/>
    </row>
    <row r="109" spans="1:12">
      <c r="A109" s="1243">
        <v>29</v>
      </c>
      <c r="B109" s="1249" t="s">
        <v>886</v>
      </c>
      <c r="C109" s="1272" t="s">
        <v>366</v>
      </c>
      <c r="D109" s="1243">
        <v>1</v>
      </c>
      <c r="E109" s="1261">
        <v>1100000</v>
      </c>
      <c r="F109" s="1246">
        <f t="shared" ref="F109:F110" si="10">E109*8%</f>
        <v>88000</v>
      </c>
      <c r="G109" s="1246">
        <f t="shared" ref="G109:G110" si="11">E109+F109</f>
        <v>1188000</v>
      </c>
      <c r="H109" s="1246">
        <f t="shared" si="4"/>
        <v>1188000</v>
      </c>
      <c r="I109" s="1247">
        <v>990000.00000000012</v>
      </c>
      <c r="J109" s="1247">
        <v>990000.00000000012</v>
      </c>
      <c r="K109" s="1242"/>
      <c r="L109" s="1269"/>
    </row>
    <row r="110" spans="1:12" ht="28.5">
      <c r="A110" s="1270">
        <v>30</v>
      </c>
      <c r="B110" s="1249" t="s">
        <v>887</v>
      </c>
      <c r="C110" s="1272" t="s">
        <v>366</v>
      </c>
      <c r="D110" s="1243">
        <v>1</v>
      </c>
      <c r="E110" s="1261">
        <v>7990000</v>
      </c>
      <c r="F110" s="1246">
        <f t="shared" si="10"/>
        <v>639200</v>
      </c>
      <c r="G110" s="1246">
        <f t="shared" si="11"/>
        <v>8629200</v>
      </c>
      <c r="H110" s="1246">
        <f t="shared" si="4"/>
        <v>8629200</v>
      </c>
      <c r="I110" s="1247">
        <v>8830000</v>
      </c>
      <c r="J110" s="1247">
        <v>8830000</v>
      </c>
      <c r="K110" s="1242" t="s">
        <v>888</v>
      </c>
      <c r="L110" s="1269"/>
    </row>
    <row r="111" spans="1:12">
      <c r="A111" s="1243">
        <v>31</v>
      </c>
      <c r="B111" s="1271" t="s">
        <v>889</v>
      </c>
      <c r="C111" s="1272" t="s">
        <v>366</v>
      </c>
      <c r="D111" s="1243">
        <v>1</v>
      </c>
      <c r="E111" s="1245">
        <v>1259000000</v>
      </c>
      <c r="F111" s="1246">
        <v>100720000</v>
      </c>
      <c r="G111" s="1246">
        <v>1259000000</v>
      </c>
      <c r="H111" s="1246">
        <f t="shared" si="4"/>
        <v>1259000000</v>
      </c>
      <c r="I111" s="1247">
        <v>1185000000</v>
      </c>
      <c r="J111" s="1247">
        <v>1185000000</v>
      </c>
      <c r="K111" s="1242"/>
      <c r="L111" s="1269"/>
    </row>
    <row r="112" spans="1:12">
      <c r="A112" s="1240" t="s">
        <v>110</v>
      </c>
      <c r="B112" s="1280" t="s">
        <v>890</v>
      </c>
      <c r="C112" s="1281"/>
      <c r="D112" s="1282"/>
      <c r="E112" s="1282"/>
      <c r="F112" s="1281"/>
      <c r="G112" s="1281"/>
      <c r="H112" s="1246">
        <f t="shared" si="4"/>
        <v>0</v>
      </c>
      <c r="I112" s="1283"/>
      <c r="J112" s="1283"/>
    </row>
    <row r="113" spans="1:11" ht="28.5">
      <c r="A113" s="1284">
        <v>1</v>
      </c>
      <c r="B113" s="1257" t="s">
        <v>891</v>
      </c>
      <c r="C113" s="1243" t="s">
        <v>366</v>
      </c>
      <c r="D113" s="1282">
        <v>1</v>
      </c>
      <c r="E113" s="1245">
        <v>90000</v>
      </c>
      <c r="F113" s="1246">
        <f t="shared" ref="F113:F172" si="12">E113*8%</f>
        <v>7200</v>
      </c>
      <c r="G113" s="1246">
        <f t="shared" ref="G113:G172" si="13">E113+F113</f>
        <v>97200</v>
      </c>
      <c r="H113" s="1246">
        <f t="shared" si="4"/>
        <v>97200</v>
      </c>
      <c r="I113" s="1283">
        <v>91000</v>
      </c>
      <c r="J113" s="1283">
        <v>91000</v>
      </c>
      <c r="K113" s="1248" t="s">
        <v>892</v>
      </c>
    </row>
    <row r="114" spans="1:11">
      <c r="A114" s="1284">
        <v>2</v>
      </c>
      <c r="B114" s="1244" t="s">
        <v>403</v>
      </c>
      <c r="C114" s="1243" t="s">
        <v>366</v>
      </c>
      <c r="D114" s="1282">
        <v>1</v>
      </c>
      <c r="E114" s="1245">
        <v>7400</v>
      </c>
      <c r="F114" s="1246">
        <f t="shared" si="12"/>
        <v>592</v>
      </c>
      <c r="G114" s="1246">
        <f t="shared" si="13"/>
        <v>7992</v>
      </c>
      <c r="H114" s="1246">
        <f t="shared" si="4"/>
        <v>7992</v>
      </c>
      <c r="I114" s="1283">
        <v>8000</v>
      </c>
      <c r="J114" s="1283">
        <v>8000</v>
      </c>
    </row>
    <row r="115" spans="1:11">
      <c r="A115" s="1284">
        <v>3</v>
      </c>
      <c r="B115" s="1244" t="s">
        <v>893</v>
      </c>
      <c r="C115" s="1243" t="s">
        <v>894</v>
      </c>
      <c r="D115" s="1282">
        <v>1</v>
      </c>
      <c r="E115" s="1245">
        <v>25000</v>
      </c>
      <c r="F115" s="1246">
        <f t="shared" si="12"/>
        <v>2000</v>
      </c>
      <c r="G115" s="1246">
        <f t="shared" si="13"/>
        <v>27000</v>
      </c>
      <c r="H115" s="1246">
        <f t="shared" si="4"/>
        <v>27000</v>
      </c>
      <c r="I115" s="1283">
        <v>21600</v>
      </c>
      <c r="J115" s="1283">
        <v>21600</v>
      </c>
    </row>
    <row r="116" spans="1:11">
      <c r="A116" s="1284">
        <v>4</v>
      </c>
      <c r="B116" s="1244" t="s">
        <v>895</v>
      </c>
      <c r="C116" s="1243" t="s">
        <v>894</v>
      </c>
      <c r="D116" s="1282">
        <v>1</v>
      </c>
      <c r="E116" s="1245">
        <v>18000</v>
      </c>
      <c r="F116" s="1246">
        <f t="shared" si="12"/>
        <v>1440</v>
      </c>
      <c r="G116" s="1246">
        <f t="shared" si="13"/>
        <v>19440</v>
      </c>
      <c r="H116" s="1246">
        <f t="shared" si="4"/>
        <v>19440</v>
      </c>
      <c r="I116" s="1283">
        <v>5600</v>
      </c>
      <c r="J116" s="1283">
        <v>5600</v>
      </c>
    </row>
    <row r="117" spans="1:11">
      <c r="A117" s="1284">
        <v>5</v>
      </c>
      <c r="B117" s="1244" t="s">
        <v>896</v>
      </c>
      <c r="C117" s="1243" t="s">
        <v>380</v>
      </c>
      <c r="D117" s="1282">
        <v>1</v>
      </c>
      <c r="E117" s="1245">
        <v>25000</v>
      </c>
      <c r="F117" s="1246">
        <f t="shared" si="12"/>
        <v>2000</v>
      </c>
      <c r="G117" s="1246">
        <f t="shared" si="13"/>
        <v>27000</v>
      </c>
      <c r="H117" s="1246">
        <f t="shared" si="4"/>
        <v>27000</v>
      </c>
      <c r="I117" s="1283">
        <v>20000</v>
      </c>
      <c r="J117" s="1283">
        <v>20000</v>
      </c>
    </row>
    <row r="118" spans="1:11">
      <c r="A118" s="1284">
        <v>6</v>
      </c>
      <c r="B118" s="1244" t="s">
        <v>897</v>
      </c>
      <c r="C118" s="1243" t="s">
        <v>380</v>
      </c>
      <c r="D118" s="1282">
        <v>1</v>
      </c>
      <c r="E118" s="1245">
        <v>25000</v>
      </c>
      <c r="F118" s="1246">
        <f t="shared" si="12"/>
        <v>2000</v>
      </c>
      <c r="G118" s="1246">
        <f t="shared" si="13"/>
        <v>27000</v>
      </c>
      <c r="H118" s="1246">
        <f t="shared" si="4"/>
        <v>27000</v>
      </c>
      <c r="I118" s="1283">
        <v>20000</v>
      </c>
      <c r="J118" s="1283">
        <v>20000</v>
      </c>
    </row>
    <row r="119" spans="1:11">
      <c r="A119" s="1284">
        <v>7</v>
      </c>
      <c r="B119" s="1244" t="s">
        <v>898</v>
      </c>
      <c r="C119" s="1243" t="s">
        <v>899</v>
      </c>
      <c r="D119" s="1282">
        <v>1</v>
      </c>
      <c r="E119" s="1245">
        <f>435000/2.8</f>
        <v>155357.14285714287</v>
      </c>
      <c r="F119" s="1246">
        <f t="shared" si="12"/>
        <v>12428.571428571429</v>
      </c>
      <c r="G119" s="1246">
        <f t="shared" si="13"/>
        <v>167785.71428571429</v>
      </c>
      <c r="H119" s="1246">
        <f t="shared" si="4"/>
        <v>167785.71428571429</v>
      </c>
      <c r="I119" s="1283">
        <v>118000</v>
      </c>
      <c r="J119" s="1283">
        <v>118000</v>
      </c>
    </row>
    <row r="120" spans="1:11">
      <c r="A120" s="1284">
        <v>8</v>
      </c>
      <c r="B120" s="1244" t="s">
        <v>900</v>
      </c>
      <c r="C120" s="1243" t="s">
        <v>899</v>
      </c>
      <c r="D120" s="1282">
        <v>1</v>
      </c>
      <c r="E120" s="1245">
        <v>2000</v>
      </c>
      <c r="F120" s="1246">
        <f t="shared" si="12"/>
        <v>160</v>
      </c>
      <c r="G120" s="1246">
        <f t="shared" si="13"/>
        <v>2160</v>
      </c>
      <c r="H120" s="1246">
        <f t="shared" si="4"/>
        <v>2160</v>
      </c>
      <c r="I120" s="1283">
        <v>1870.0000000000002</v>
      </c>
      <c r="J120" s="1283">
        <v>1870.0000000000002</v>
      </c>
    </row>
    <row r="121" spans="1:11">
      <c r="A121" s="1284">
        <v>9</v>
      </c>
      <c r="B121" s="1244" t="s">
        <v>901</v>
      </c>
      <c r="C121" s="1243" t="s">
        <v>902</v>
      </c>
      <c r="D121" s="1282">
        <v>1</v>
      </c>
      <c r="E121" s="1245">
        <v>410000</v>
      </c>
      <c r="F121" s="1246">
        <f t="shared" si="12"/>
        <v>32800</v>
      </c>
      <c r="G121" s="1246">
        <f t="shared" si="13"/>
        <v>442800</v>
      </c>
      <c r="H121" s="1246">
        <f t="shared" si="4"/>
        <v>442800</v>
      </c>
      <c r="I121" s="1283">
        <v>387036.10000000003</v>
      </c>
      <c r="J121" s="1283">
        <v>387036.10000000003</v>
      </c>
    </row>
    <row r="122" spans="1:11">
      <c r="A122" s="1284">
        <v>10</v>
      </c>
      <c r="B122" s="1244" t="s">
        <v>903</v>
      </c>
      <c r="C122" s="1243" t="s">
        <v>902</v>
      </c>
      <c r="D122" s="1282">
        <v>1</v>
      </c>
      <c r="E122" s="1245">
        <v>465000</v>
      </c>
      <c r="F122" s="1246">
        <f t="shared" si="12"/>
        <v>37200</v>
      </c>
      <c r="G122" s="1246">
        <f t="shared" si="13"/>
        <v>502200</v>
      </c>
      <c r="H122" s="1246">
        <f t="shared" si="4"/>
        <v>502200</v>
      </c>
      <c r="I122" s="1283">
        <v>456500.00000000006</v>
      </c>
      <c r="J122" s="1283">
        <v>456500.00000000006</v>
      </c>
    </row>
    <row r="123" spans="1:11">
      <c r="A123" s="1284">
        <v>11</v>
      </c>
      <c r="B123" s="1244" t="s">
        <v>904</v>
      </c>
      <c r="C123" s="1243" t="s">
        <v>366</v>
      </c>
      <c r="D123" s="1282">
        <v>1</v>
      </c>
      <c r="E123" s="1245">
        <v>5000</v>
      </c>
      <c r="F123" s="1246">
        <f t="shared" si="12"/>
        <v>400</v>
      </c>
      <c r="G123" s="1246">
        <f t="shared" si="13"/>
        <v>5400</v>
      </c>
      <c r="H123" s="1246">
        <f t="shared" si="4"/>
        <v>5400</v>
      </c>
      <c r="I123" s="1283">
        <v>4400</v>
      </c>
      <c r="J123" s="1283">
        <v>4400</v>
      </c>
    </row>
    <row r="124" spans="1:11">
      <c r="A124" s="1284">
        <v>12</v>
      </c>
      <c r="B124" s="1244" t="s">
        <v>905</v>
      </c>
      <c r="C124" s="1243" t="s">
        <v>899</v>
      </c>
      <c r="D124" s="1282">
        <v>1</v>
      </c>
      <c r="E124" s="1245">
        <v>17000</v>
      </c>
      <c r="F124" s="1246">
        <f t="shared" si="12"/>
        <v>1360</v>
      </c>
      <c r="G124" s="1246">
        <f t="shared" si="13"/>
        <v>18360</v>
      </c>
      <c r="H124" s="1246">
        <f t="shared" si="4"/>
        <v>18360</v>
      </c>
      <c r="I124" s="1283">
        <v>14000</v>
      </c>
      <c r="J124" s="1283">
        <v>14000</v>
      </c>
    </row>
    <row r="125" spans="1:11">
      <c r="A125" s="1284">
        <v>13</v>
      </c>
      <c r="B125" s="1244" t="s">
        <v>906</v>
      </c>
      <c r="C125" s="1243" t="s">
        <v>899</v>
      </c>
      <c r="D125" s="1282">
        <v>1</v>
      </c>
      <c r="E125" s="1245">
        <v>15770</v>
      </c>
      <c r="F125" s="1246">
        <f t="shared" si="12"/>
        <v>1261.6000000000001</v>
      </c>
      <c r="G125" s="1246">
        <f t="shared" si="13"/>
        <v>17031.599999999999</v>
      </c>
      <c r="H125" s="1246">
        <f t="shared" si="4"/>
        <v>17031.599999999999</v>
      </c>
      <c r="I125" s="1283">
        <v>14972.1</v>
      </c>
      <c r="J125" s="1283">
        <v>14972.1</v>
      </c>
    </row>
    <row r="126" spans="1:11">
      <c r="A126" s="1284">
        <v>14</v>
      </c>
      <c r="B126" s="1244" t="s">
        <v>907</v>
      </c>
      <c r="C126" s="1243" t="s">
        <v>366</v>
      </c>
      <c r="D126" s="1282">
        <v>1</v>
      </c>
      <c r="E126" s="1245">
        <v>800</v>
      </c>
      <c r="F126" s="1246">
        <f t="shared" si="12"/>
        <v>64</v>
      </c>
      <c r="G126" s="1246">
        <f t="shared" si="13"/>
        <v>864</v>
      </c>
      <c r="H126" s="1246">
        <f t="shared" si="4"/>
        <v>864</v>
      </c>
      <c r="I126" s="1283">
        <v>380</v>
      </c>
      <c r="J126" s="1283">
        <v>380</v>
      </c>
    </row>
    <row r="127" spans="1:11">
      <c r="A127" s="1284">
        <v>15</v>
      </c>
      <c r="B127" s="1244" t="s">
        <v>908</v>
      </c>
      <c r="C127" s="1243" t="s">
        <v>147</v>
      </c>
      <c r="D127" s="1282">
        <v>1</v>
      </c>
      <c r="E127" s="1245">
        <v>9000</v>
      </c>
      <c r="F127" s="1246">
        <f t="shared" si="12"/>
        <v>720</v>
      </c>
      <c r="G127" s="1246">
        <f t="shared" si="13"/>
        <v>9720</v>
      </c>
      <c r="H127" s="1246">
        <f t="shared" si="4"/>
        <v>9720</v>
      </c>
      <c r="I127" s="1283">
        <v>9720</v>
      </c>
      <c r="J127" s="1283">
        <v>9720</v>
      </c>
    </row>
    <row r="128" spans="1:11">
      <c r="A128" s="1284">
        <v>16</v>
      </c>
      <c r="B128" s="1244" t="s">
        <v>909</v>
      </c>
      <c r="C128" s="1243" t="s">
        <v>141</v>
      </c>
      <c r="D128" s="1282">
        <v>1</v>
      </c>
      <c r="E128" s="1245">
        <v>10000</v>
      </c>
      <c r="F128" s="1246">
        <f t="shared" si="12"/>
        <v>800</v>
      </c>
      <c r="G128" s="1246">
        <f t="shared" si="13"/>
        <v>10800</v>
      </c>
      <c r="H128" s="1246">
        <f t="shared" si="4"/>
        <v>10800</v>
      </c>
      <c r="I128" s="1283">
        <v>200000</v>
      </c>
      <c r="J128" s="1283">
        <v>200000</v>
      </c>
    </row>
    <row r="129" spans="1:11">
      <c r="A129" s="1284">
        <v>17</v>
      </c>
      <c r="B129" s="1244" t="s">
        <v>910</v>
      </c>
      <c r="C129" s="1243" t="s">
        <v>141</v>
      </c>
      <c r="D129" s="1282">
        <v>1</v>
      </c>
      <c r="E129" s="1245">
        <v>10000</v>
      </c>
      <c r="F129" s="1246">
        <f t="shared" si="12"/>
        <v>800</v>
      </c>
      <c r="G129" s="1246">
        <f t="shared" si="13"/>
        <v>10800</v>
      </c>
      <c r="H129" s="1246">
        <f t="shared" si="4"/>
        <v>10800</v>
      </c>
      <c r="I129" s="1283">
        <v>160000</v>
      </c>
      <c r="J129" s="1283">
        <v>160000</v>
      </c>
    </row>
    <row r="130" spans="1:11">
      <c r="A130" s="1284">
        <v>18</v>
      </c>
      <c r="B130" s="1244" t="s">
        <v>911</v>
      </c>
      <c r="C130" s="1243" t="s">
        <v>390</v>
      </c>
      <c r="D130" s="1282">
        <v>1</v>
      </c>
      <c r="E130" s="1245">
        <v>2970000</v>
      </c>
      <c r="F130" s="1246">
        <f t="shared" si="12"/>
        <v>237600</v>
      </c>
      <c r="G130" s="1246">
        <f t="shared" si="13"/>
        <v>3207600</v>
      </c>
      <c r="H130" s="1246">
        <f t="shared" si="4"/>
        <v>3207600</v>
      </c>
      <c r="I130" s="1283">
        <v>2850000</v>
      </c>
      <c r="J130" s="1283">
        <v>2850000</v>
      </c>
    </row>
    <row r="131" spans="1:11">
      <c r="A131" s="1284">
        <v>19</v>
      </c>
      <c r="B131" s="1244" t="s">
        <v>912</v>
      </c>
      <c r="C131" s="1243" t="s">
        <v>894</v>
      </c>
      <c r="D131" s="1282">
        <v>1</v>
      </c>
      <c r="E131" s="1245">
        <v>750000</v>
      </c>
      <c r="F131" s="1246">
        <f t="shared" si="12"/>
        <v>60000</v>
      </c>
      <c r="G131" s="1246">
        <f t="shared" si="13"/>
        <v>810000</v>
      </c>
      <c r="H131" s="1246">
        <f t="shared" si="4"/>
        <v>810000</v>
      </c>
      <c r="I131" s="1283">
        <v>702000</v>
      </c>
      <c r="J131" s="1283">
        <v>702000</v>
      </c>
    </row>
    <row r="132" spans="1:11">
      <c r="A132" s="1284">
        <v>20</v>
      </c>
      <c r="B132" s="1244" t="s">
        <v>405</v>
      </c>
      <c r="C132" s="1243" t="s">
        <v>366</v>
      </c>
      <c r="D132" s="1282">
        <v>1</v>
      </c>
      <c r="E132" s="1245">
        <v>8000</v>
      </c>
      <c r="F132" s="1246">
        <f t="shared" si="12"/>
        <v>640</v>
      </c>
      <c r="G132" s="1246">
        <f t="shared" si="13"/>
        <v>8640</v>
      </c>
      <c r="H132" s="1246">
        <f t="shared" ref="H132:H176" si="14">G132*D132</f>
        <v>8640</v>
      </c>
      <c r="I132" s="1283">
        <v>2950</v>
      </c>
      <c r="J132" s="1283">
        <v>2950</v>
      </c>
    </row>
    <row r="133" spans="1:11">
      <c r="A133" s="1284">
        <v>21</v>
      </c>
      <c r="B133" s="1244" t="s">
        <v>913</v>
      </c>
      <c r="C133" s="1243" t="s">
        <v>366</v>
      </c>
      <c r="D133" s="1282">
        <v>1</v>
      </c>
      <c r="E133" s="1261">
        <v>10000</v>
      </c>
      <c r="F133" s="1246">
        <f t="shared" si="12"/>
        <v>800</v>
      </c>
      <c r="G133" s="1246">
        <f t="shared" si="13"/>
        <v>10800</v>
      </c>
      <c r="H133" s="1246">
        <f t="shared" si="14"/>
        <v>10800</v>
      </c>
      <c r="I133" s="1283">
        <v>6700</v>
      </c>
      <c r="J133" s="1283">
        <v>6700</v>
      </c>
    </row>
    <row r="134" spans="1:11">
      <c r="A134" s="1284">
        <v>22</v>
      </c>
      <c r="B134" s="1244" t="s">
        <v>914</v>
      </c>
      <c r="C134" s="1243" t="s">
        <v>366</v>
      </c>
      <c r="D134" s="1282">
        <v>1</v>
      </c>
      <c r="E134" s="1245">
        <v>179000</v>
      </c>
      <c r="F134" s="1246">
        <f t="shared" si="12"/>
        <v>14320</v>
      </c>
      <c r="G134" s="1246">
        <f t="shared" si="13"/>
        <v>193320</v>
      </c>
      <c r="H134" s="1246">
        <f t="shared" si="14"/>
        <v>193320</v>
      </c>
      <c r="I134" s="1283">
        <v>169000</v>
      </c>
      <c r="J134" s="1283">
        <v>169000</v>
      </c>
    </row>
    <row r="135" spans="1:11" ht="28.5">
      <c r="A135" s="1284">
        <v>23</v>
      </c>
      <c r="B135" s="1244" t="s">
        <v>915</v>
      </c>
      <c r="C135" s="1243" t="s">
        <v>366</v>
      </c>
      <c r="D135" s="1282">
        <v>1</v>
      </c>
      <c r="E135" s="1260">
        <v>23900</v>
      </c>
      <c r="F135" s="1246">
        <f t="shared" si="12"/>
        <v>1912</v>
      </c>
      <c r="G135" s="1246">
        <f t="shared" si="13"/>
        <v>25812</v>
      </c>
      <c r="H135" s="1246">
        <f t="shared" si="14"/>
        <v>25812</v>
      </c>
      <c r="I135" s="1283">
        <v>3000</v>
      </c>
      <c r="J135" s="1283">
        <v>3000</v>
      </c>
      <c r="K135" s="1248" t="s">
        <v>916</v>
      </c>
    </row>
    <row r="136" spans="1:11">
      <c r="A136" s="1284">
        <v>24</v>
      </c>
      <c r="B136" s="1244" t="s">
        <v>917</v>
      </c>
      <c r="C136" s="1243" t="s">
        <v>366</v>
      </c>
      <c r="D136" s="1282">
        <v>1</v>
      </c>
      <c r="E136" s="1245">
        <v>30000</v>
      </c>
      <c r="F136" s="1246">
        <f t="shared" si="12"/>
        <v>2400</v>
      </c>
      <c r="G136" s="1246">
        <f t="shared" si="13"/>
        <v>32400</v>
      </c>
      <c r="H136" s="1246">
        <f t="shared" si="14"/>
        <v>32400</v>
      </c>
      <c r="I136" s="1283">
        <v>25000</v>
      </c>
      <c r="J136" s="1283">
        <v>25000</v>
      </c>
    </row>
    <row r="137" spans="1:11">
      <c r="A137" s="1284">
        <v>25</v>
      </c>
      <c r="B137" s="1244" t="s">
        <v>374</v>
      </c>
      <c r="C137" s="1243" t="s">
        <v>366</v>
      </c>
      <c r="D137" s="1282">
        <v>1</v>
      </c>
      <c r="E137" s="1245">
        <v>38700</v>
      </c>
      <c r="F137" s="1246">
        <f t="shared" si="12"/>
        <v>3096</v>
      </c>
      <c r="G137" s="1246">
        <f t="shared" si="13"/>
        <v>41796</v>
      </c>
      <c r="H137" s="1246">
        <f t="shared" si="14"/>
        <v>41796</v>
      </c>
      <c r="I137" s="1283">
        <v>30000</v>
      </c>
      <c r="J137" s="1283">
        <v>30000</v>
      </c>
    </row>
    <row r="138" spans="1:11">
      <c r="A138" s="1284">
        <v>26</v>
      </c>
      <c r="B138" s="1244" t="s">
        <v>43</v>
      </c>
      <c r="C138" s="1243" t="s">
        <v>366</v>
      </c>
      <c r="D138" s="1282">
        <v>1</v>
      </c>
      <c r="E138" s="1245">
        <v>14500</v>
      </c>
      <c r="F138" s="1246">
        <f t="shared" si="12"/>
        <v>1160</v>
      </c>
      <c r="G138" s="1246">
        <f t="shared" si="13"/>
        <v>15660</v>
      </c>
      <c r="H138" s="1246">
        <f t="shared" si="14"/>
        <v>15660</v>
      </c>
      <c r="I138" s="1283">
        <v>10400</v>
      </c>
      <c r="J138" s="1283">
        <v>10400</v>
      </c>
    </row>
    <row r="139" spans="1:11">
      <c r="A139" s="1284">
        <v>27</v>
      </c>
      <c r="B139" s="1244" t="s">
        <v>918</v>
      </c>
      <c r="C139" s="1282" t="s">
        <v>366</v>
      </c>
      <c r="D139" s="1282">
        <v>1</v>
      </c>
      <c r="E139" s="1245">
        <v>4500</v>
      </c>
      <c r="F139" s="1246">
        <f t="shared" si="12"/>
        <v>360</v>
      </c>
      <c r="G139" s="1246">
        <f t="shared" si="13"/>
        <v>4860</v>
      </c>
      <c r="H139" s="1246">
        <f t="shared" si="14"/>
        <v>4860</v>
      </c>
      <c r="I139" s="1283">
        <v>3800</v>
      </c>
      <c r="J139" s="1283">
        <v>3800</v>
      </c>
    </row>
    <row r="140" spans="1:11">
      <c r="A140" s="1284">
        <v>28</v>
      </c>
      <c r="B140" s="1244" t="s">
        <v>919</v>
      </c>
      <c r="C140" s="1243" t="s">
        <v>366</v>
      </c>
      <c r="D140" s="1282">
        <v>1</v>
      </c>
      <c r="E140" s="1245">
        <v>19000</v>
      </c>
      <c r="F140" s="1246">
        <f t="shared" si="12"/>
        <v>1520</v>
      </c>
      <c r="G140" s="1246">
        <f t="shared" si="13"/>
        <v>20520</v>
      </c>
      <c r="H140" s="1246">
        <f t="shared" si="14"/>
        <v>20520</v>
      </c>
      <c r="I140" s="1283">
        <v>19000</v>
      </c>
      <c r="J140" s="1283">
        <v>19000</v>
      </c>
    </row>
    <row r="141" spans="1:11">
      <c r="A141" s="1284">
        <v>29</v>
      </c>
      <c r="B141" s="1257" t="s">
        <v>920</v>
      </c>
      <c r="C141" s="1243" t="s">
        <v>366</v>
      </c>
      <c r="D141" s="1282">
        <v>1</v>
      </c>
      <c r="E141" s="1245">
        <v>11500</v>
      </c>
      <c r="F141" s="1246">
        <f t="shared" si="12"/>
        <v>920</v>
      </c>
      <c r="G141" s="1246">
        <f t="shared" si="13"/>
        <v>12420</v>
      </c>
      <c r="H141" s="1246">
        <f t="shared" si="14"/>
        <v>12420</v>
      </c>
      <c r="I141" s="1283">
        <v>8000</v>
      </c>
      <c r="J141" s="1283">
        <v>8000</v>
      </c>
    </row>
    <row r="142" spans="1:11">
      <c r="A142" s="1284">
        <v>30</v>
      </c>
      <c r="B142" s="1244" t="s">
        <v>921</v>
      </c>
      <c r="C142" s="1282" t="s">
        <v>366</v>
      </c>
      <c r="D142" s="1282">
        <v>1</v>
      </c>
      <c r="E142" s="1245">
        <v>25000</v>
      </c>
      <c r="F142" s="1246">
        <f t="shared" si="12"/>
        <v>2000</v>
      </c>
      <c r="G142" s="1246">
        <f t="shared" si="13"/>
        <v>27000</v>
      </c>
      <c r="H142" s="1246">
        <f t="shared" si="14"/>
        <v>27000</v>
      </c>
      <c r="I142" s="1283">
        <v>22000</v>
      </c>
      <c r="J142" s="1283">
        <v>22000</v>
      </c>
    </row>
    <row r="143" spans="1:11">
      <c r="A143" s="1284">
        <v>31</v>
      </c>
      <c r="B143" s="1244" t="s">
        <v>400</v>
      </c>
      <c r="C143" s="1282" t="s">
        <v>366</v>
      </c>
      <c r="D143" s="1282">
        <v>1</v>
      </c>
      <c r="E143" s="1245">
        <v>62000</v>
      </c>
      <c r="F143" s="1246">
        <f t="shared" si="12"/>
        <v>4960</v>
      </c>
      <c r="G143" s="1246">
        <f t="shared" si="13"/>
        <v>66960</v>
      </c>
      <c r="H143" s="1246">
        <f t="shared" si="14"/>
        <v>66960</v>
      </c>
      <c r="I143" s="1283">
        <v>40000</v>
      </c>
      <c r="J143" s="1283">
        <v>40000</v>
      </c>
    </row>
    <row r="144" spans="1:11">
      <c r="A144" s="1284">
        <v>32</v>
      </c>
      <c r="B144" s="1244" t="s">
        <v>399</v>
      </c>
      <c r="C144" s="1282" t="s">
        <v>366</v>
      </c>
      <c r="D144" s="1282">
        <v>1</v>
      </c>
      <c r="E144" s="1245">
        <v>30500</v>
      </c>
      <c r="F144" s="1246">
        <f t="shared" si="12"/>
        <v>2440</v>
      </c>
      <c r="G144" s="1246">
        <f t="shared" si="13"/>
        <v>32940</v>
      </c>
      <c r="H144" s="1246">
        <f t="shared" si="14"/>
        <v>32940</v>
      </c>
      <c r="I144" s="1283">
        <v>20000</v>
      </c>
      <c r="J144" s="1283">
        <v>20000</v>
      </c>
    </row>
    <row r="145" spans="1:10">
      <c r="A145" s="1284">
        <v>33</v>
      </c>
      <c r="B145" s="1244" t="s">
        <v>922</v>
      </c>
      <c r="C145" s="1243" t="s">
        <v>366</v>
      </c>
      <c r="D145" s="1282">
        <v>1</v>
      </c>
      <c r="E145" s="1245">
        <v>6000</v>
      </c>
      <c r="F145" s="1246">
        <f t="shared" si="12"/>
        <v>480</v>
      </c>
      <c r="G145" s="1246">
        <f t="shared" si="13"/>
        <v>6480</v>
      </c>
      <c r="H145" s="1246">
        <f t="shared" si="14"/>
        <v>6480</v>
      </c>
      <c r="I145" s="1283">
        <v>11500</v>
      </c>
      <c r="J145" s="1283">
        <v>11500</v>
      </c>
    </row>
    <row r="146" spans="1:10">
      <c r="A146" s="1284">
        <v>34</v>
      </c>
      <c r="B146" s="1244" t="s">
        <v>391</v>
      </c>
      <c r="C146" s="1243" t="s">
        <v>390</v>
      </c>
      <c r="D146" s="1282">
        <v>1</v>
      </c>
      <c r="E146" s="1245">
        <v>3000</v>
      </c>
      <c r="F146" s="1246">
        <f t="shared" si="12"/>
        <v>240</v>
      </c>
      <c r="G146" s="1246">
        <f t="shared" si="13"/>
        <v>3240</v>
      </c>
      <c r="H146" s="1246">
        <f t="shared" si="14"/>
        <v>3240</v>
      </c>
      <c r="I146" s="1283">
        <v>3000</v>
      </c>
      <c r="J146" s="1283">
        <v>3000</v>
      </c>
    </row>
    <row r="147" spans="1:10">
      <c r="A147" s="1284">
        <v>35</v>
      </c>
      <c r="B147" s="1244" t="s">
        <v>389</v>
      </c>
      <c r="C147" s="1243" t="s">
        <v>390</v>
      </c>
      <c r="D147" s="1282">
        <v>1</v>
      </c>
      <c r="E147" s="1245">
        <v>18000</v>
      </c>
      <c r="F147" s="1246">
        <f t="shared" si="12"/>
        <v>1440</v>
      </c>
      <c r="G147" s="1246">
        <f t="shared" si="13"/>
        <v>19440</v>
      </c>
      <c r="H147" s="1246">
        <f t="shared" si="14"/>
        <v>19440</v>
      </c>
      <c r="I147" s="1283">
        <v>3500</v>
      </c>
      <c r="J147" s="1283">
        <v>3500</v>
      </c>
    </row>
    <row r="148" spans="1:10">
      <c r="A148" s="1284">
        <v>36</v>
      </c>
      <c r="B148" s="1257" t="s">
        <v>923</v>
      </c>
      <c r="C148" s="1243" t="s">
        <v>390</v>
      </c>
      <c r="D148" s="1282">
        <v>1</v>
      </c>
      <c r="E148" s="1245">
        <v>1190000</v>
      </c>
      <c r="F148" s="1246">
        <f t="shared" si="12"/>
        <v>95200</v>
      </c>
      <c r="G148" s="1246">
        <f t="shared" si="13"/>
        <v>1285200</v>
      </c>
      <c r="H148" s="1246">
        <f t="shared" si="14"/>
        <v>1285200</v>
      </c>
      <c r="I148" s="1283">
        <v>800000</v>
      </c>
      <c r="J148" s="1283">
        <v>800000</v>
      </c>
    </row>
    <row r="149" spans="1:10">
      <c r="A149" s="1284">
        <v>37</v>
      </c>
      <c r="B149" s="1244" t="s">
        <v>397</v>
      </c>
      <c r="C149" s="1243" t="s">
        <v>924</v>
      </c>
      <c r="D149" s="1282">
        <v>1</v>
      </c>
      <c r="E149" s="1245">
        <v>124200</v>
      </c>
      <c r="F149" s="1246">
        <f t="shared" si="12"/>
        <v>9936</v>
      </c>
      <c r="G149" s="1246">
        <f t="shared" si="13"/>
        <v>134136</v>
      </c>
      <c r="H149" s="1246">
        <f t="shared" si="14"/>
        <v>134136</v>
      </c>
      <c r="I149" s="1283">
        <v>132000</v>
      </c>
      <c r="J149" s="1283">
        <v>132000</v>
      </c>
    </row>
    <row r="150" spans="1:10">
      <c r="A150" s="1284">
        <v>38</v>
      </c>
      <c r="B150" s="1244" t="s">
        <v>925</v>
      </c>
      <c r="C150" s="1243" t="s">
        <v>380</v>
      </c>
      <c r="D150" s="1282">
        <v>1</v>
      </c>
      <c r="E150" s="1245">
        <v>4140000</v>
      </c>
      <c r="F150" s="1246">
        <f t="shared" si="12"/>
        <v>331200</v>
      </c>
      <c r="G150" s="1246">
        <f t="shared" si="13"/>
        <v>4471200</v>
      </c>
      <c r="H150" s="1246">
        <f t="shared" si="14"/>
        <v>4471200</v>
      </c>
      <c r="I150" s="1283">
        <v>3150000</v>
      </c>
      <c r="J150" s="1283">
        <v>3150000</v>
      </c>
    </row>
    <row r="151" spans="1:10">
      <c r="A151" s="1284">
        <v>39</v>
      </c>
      <c r="B151" s="1257" t="s">
        <v>926</v>
      </c>
      <c r="C151" s="1243" t="s">
        <v>398</v>
      </c>
      <c r="D151" s="1282">
        <v>1</v>
      </c>
      <c r="E151" s="1245">
        <v>4990740.7407407407</v>
      </c>
      <c r="F151" s="1246">
        <f t="shared" si="12"/>
        <v>399259.25925925927</v>
      </c>
      <c r="G151" s="1246">
        <f t="shared" si="13"/>
        <v>5390000</v>
      </c>
      <c r="H151" s="1246">
        <f t="shared" si="14"/>
        <v>5390000</v>
      </c>
      <c r="I151" s="1283">
        <v>4830000</v>
      </c>
      <c r="J151" s="1283">
        <v>4830000</v>
      </c>
    </row>
    <row r="152" spans="1:10">
      <c r="A152" s="1284">
        <v>40</v>
      </c>
      <c r="B152" s="1257" t="s">
        <v>927</v>
      </c>
      <c r="C152" s="1243" t="s">
        <v>147</v>
      </c>
      <c r="D152" s="1282">
        <v>1</v>
      </c>
      <c r="E152" s="1245">
        <v>400000</v>
      </c>
      <c r="F152" s="1246">
        <f t="shared" si="12"/>
        <v>32000</v>
      </c>
      <c r="G152" s="1246">
        <f t="shared" si="13"/>
        <v>432000</v>
      </c>
      <c r="H152" s="1246">
        <f t="shared" si="14"/>
        <v>432000</v>
      </c>
      <c r="I152" s="1283">
        <v>440000</v>
      </c>
      <c r="J152" s="1283">
        <v>440000</v>
      </c>
    </row>
    <row r="153" spans="1:10">
      <c r="A153" s="1284">
        <v>41</v>
      </c>
      <c r="B153" s="1273" t="s">
        <v>928</v>
      </c>
      <c r="C153" s="1243" t="s">
        <v>924</v>
      </c>
      <c r="D153" s="1282">
        <v>1</v>
      </c>
      <c r="E153" s="1245">
        <v>64400</v>
      </c>
      <c r="F153" s="1246">
        <f t="shared" si="12"/>
        <v>5152</v>
      </c>
      <c r="G153" s="1246">
        <f t="shared" si="13"/>
        <v>69552</v>
      </c>
      <c r="H153" s="1246">
        <f t="shared" si="14"/>
        <v>69552</v>
      </c>
      <c r="I153" s="1283">
        <v>64000</v>
      </c>
      <c r="J153" s="1283">
        <v>64000</v>
      </c>
    </row>
    <row r="154" spans="1:10">
      <c r="A154" s="1284">
        <v>42</v>
      </c>
      <c r="B154" s="1273" t="s">
        <v>929</v>
      </c>
      <c r="C154" s="1243" t="s">
        <v>147</v>
      </c>
      <c r="D154" s="1282">
        <v>1</v>
      </c>
      <c r="E154" s="1261">
        <v>8672</v>
      </c>
      <c r="F154" s="1246">
        <f t="shared" si="12"/>
        <v>693.76</v>
      </c>
      <c r="G154" s="1246">
        <f t="shared" si="13"/>
        <v>9365.76</v>
      </c>
      <c r="H154" s="1246">
        <f t="shared" si="14"/>
        <v>9365.76</v>
      </c>
      <c r="I154" s="1283">
        <v>8672</v>
      </c>
      <c r="J154" s="1283">
        <v>8672</v>
      </c>
    </row>
    <row r="155" spans="1:10">
      <c r="A155" s="1284">
        <v>43</v>
      </c>
      <c r="B155" s="1257" t="s">
        <v>930</v>
      </c>
      <c r="C155" s="1243" t="s">
        <v>398</v>
      </c>
      <c r="D155" s="1282">
        <v>1</v>
      </c>
      <c r="E155" s="1245">
        <v>2500000</v>
      </c>
      <c r="F155" s="1246">
        <f t="shared" si="12"/>
        <v>200000</v>
      </c>
      <c r="G155" s="1246">
        <f t="shared" si="13"/>
        <v>2700000</v>
      </c>
      <c r="H155" s="1246">
        <f t="shared" si="14"/>
        <v>2700000</v>
      </c>
      <c r="I155" s="1283">
        <v>1650000</v>
      </c>
      <c r="J155" s="1283">
        <v>1650000</v>
      </c>
    </row>
    <row r="156" spans="1:10">
      <c r="A156" s="1284">
        <v>44</v>
      </c>
      <c r="B156" s="1244" t="s">
        <v>931</v>
      </c>
      <c r="C156" s="1243" t="s">
        <v>390</v>
      </c>
      <c r="D156" s="1282">
        <v>1</v>
      </c>
      <c r="E156" s="1245">
        <v>15000</v>
      </c>
      <c r="F156" s="1246">
        <f t="shared" si="12"/>
        <v>1200</v>
      </c>
      <c r="G156" s="1246">
        <f t="shared" si="13"/>
        <v>16200</v>
      </c>
      <c r="H156" s="1246">
        <f t="shared" si="14"/>
        <v>16200</v>
      </c>
      <c r="I156" s="1283">
        <v>12000</v>
      </c>
      <c r="J156" s="1283">
        <v>12000</v>
      </c>
    </row>
    <row r="157" spans="1:10">
      <c r="A157" s="1284">
        <v>45</v>
      </c>
      <c r="B157" s="1257" t="s">
        <v>932</v>
      </c>
      <c r="C157" s="1243" t="s">
        <v>398</v>
      </c>
      <c r="D157" s="1282">
        <v>1</v>
      </c>
      <c r="E157" s="1245">
        <v>1780000</v>
      </c>
      <c r="F157" s="1246">
        <f t="shared" si="12"/>
        <v>142400</v>
      </c>
      <c r="G157" s="1246">
        <f t="shared" si="13"/>
        <v>1922400</v>
      </c>
      <c r="H157" s="1246">
        <f t="shared" si="14"/>
        <v>1922400</v>
      </c>
      <c r="I157" s="1283">
        <v>1400000</v>
      </c>
      <c r="J157" s="1283">
        <v>1400000</v>
      </c>
    </row>
    <row r="158" spans="1:10">
      <c r="A158" s="1284">
        <v>46</v>
      </c>
      <c r="B158" s="1273" t="s">
        <v>933</v>
      </c>
      <c r="C158" s="1282" t="s">
        <v>390</v>
      </c>
      <c r="D158" s="1282">
        <v>1</v>
      </c>
      <c r="E158" s="1245">
        <v>850000</v>
      </c>
      <c r="F158" s="1246">
        <f t="shared" si="12"/>
        <v>68000</v>
      </c>
      <c r="G158" s="1246">
        <f t="shared" si="13"/>
        <v>918000</v>
      </c>
      <c r="H158" s="1246">
        <f t="shared" si="14"/>
        <v>918000</v>
      </c>
      <c r="I158" s="1283">
        <v>1250000</v>
      </c>
      <c r="J158" s="1283">
        <v>1250000</v>
      </c>
    </row>
    <row r="159" spans="1:10">
      <c r="A159" s="1284">
        <v>47</v>
      </c>
      <c r="B159" s="1273" t="s">
        <v>934</v>
      </c>
      <c r="C159" s="1282" t="s">
        <v>390</v>
      </c>
      <c r="D159" s="1282">
        <v>1</v>
      </c>
      <c r="E159" s="1245">
        <v>300000</v>
      </c>
      <c r="F159" s="1246">
        <f t="shared" si="12"/>
        <v>24000</v>
      </c>
      <c r="G159" s="1246">
        <f t="shared" si="13"/>
        <v>324000</v>
      </c>
      <c r="H159" s="1246">
        <f t="shared" si="14"/>
        <v>324000</v>
      </c>
      <c r="I159" s="1283">
        <v>600000</v>
      </c>
      <c r="J159" s="1283">
        <v>600000</v>
      </c>
    </row>
    <row r="160" spans="1:10">
      <c r="A160" s="1284">
        <v>48</v>
      </c>
      <c r="B160" s="1273" t="s">
        <v>935</v>
      </c>
      <c r="C160" s="1243" t="s">
        <v>366</v>
      </c>
      <c r="D160" s="1282">
        <v>1</v>
      </c>
      <c r="E160" s="1261">
        <v>2090000</v>
      </c>
      <c r="F160" s="1246">
        <f t="shared" si="12"/>
        <v>167200</v>
      </c>
      <c r="G160" s="1246">
        <f t="shared" si="13"/>
        <v>2257200</v>
      </c>
      <c r="H160" s="1246">
        <f t="shared" si="14"/>
        <v>2257200</v>
      </c>
      <c r="I160" s="1283">
        <v>1045000</v>
      </c>
      <c r="J160" s="1283">
        <v>1045000</v>
      </c>
    </row>
    <row r="161" spans="1:11">
      <c r="A161" s="1284">
        <v>49</v>
      </c>
      <c r="B161" s="1273" t="s">
        <v>936</v>
      </c>
      <c r="C161" s="1243" t="s">
        <v>366</v>
      </c>
      <c r="D161" s="1282">
        <v>1</v>
      </c>
      <c r="E161" s="1245">
        <v>2599000</v>
      </c>
      <c r="F161" s="1246">
        <f t="shared" si="12"/>
        <v>207920</v>
      </c>
      <c r="G161" s="1246">
        <f t="shared" si="13"/>
        <v>2806920</v>
      </c>
      <c r="H161" s="1246">
        <f t="shared" si="14"/>
        <v>2806920</v>
      </c>
      <c r="I161" s="1283">
        <v>2399000</v>
      </c>
      <c r="J161" s="1283">
        <v>2399000</v>
      </c>
    </row>
    <row r="162" spans="1:11">
      <c r="A162" s="1284">
        <v>50</v>
      </c>
      <c r="B162" s="1273" t="s">
        <v>937</v>
      </c>
      <c r="C162" s="1243" t="s">
        <v>366</v>
      </c>
      <c r="D162" s="1282">
        <v>1</v>
      </c>
      <c r="E162" s="1261">
        <v>650000</v>
      </c>
      <c r="F162" s="1246">
        <f t="shared" si="12"/>
        <v>52000</v>
      </c>
      <c r="G162" s="1246">
        <f t="shared" si="13"/>
        <v>702000</v>
      </c>
      <c r="H162" s="1246">
        <f t="shared" si="14"/>
        <v>702000</v>
      </c>
      <c r="I162" s="1283">
        <v>630000</v>
      </c>
      <c r="J162" s="1283">
        <v>630000</v>
      </c>
    </row>
    <row r="163" spans="1:11">
      <c r="A163" s="1284">
        <v>51</v>
      </c>
      <c r="B163" s="1249" t="s">
        <v>938</v>
      </c>
      <c r="C163" s="1243" t="s">
        <v>390</v>
      </c>
      <c r="D163" s="1282">
        <v>1</v>
      </c>
      <c r="E163" s="1245">
        <v>385000</v>
      </c>
      <c r="F163" s="1246">
        <f t="shared" si="12"/>
        <v>30800</v>
      </c>
      <c r="G163" s="1246">
        <f t="shared" si="13"/>
        <v>415800</v>
      </c>
      <c r="H163" s="1246">
        <f t="shared" si="14"/>
        <v>415800</v>
      </c>
      <c r="I163" s="1283">
        <v>351000</v>
      </c>
      <c r="J163" s="1283">
        <v>351000</v>
      </c>
    </row>
    <row r="164" spans="1:11" s="1256" customFormat="1">
      <c r="A164" s="1284">
        <v>52</v>
      </c>
      <c r="B164" s="1244" t="s">
        <v>939</v>
      </c>
      <c r="C164" s="1243" t="s">
        <v>940</v>
      </c>
      <c r="D164" s="1282">
        <v>1</v>
      </c>
      <c r="E164" s="1245">
        <v>19500</v>
      </c>
      <c r="F164" s="1246">
        <f t="shared" si="12"/>
        <v>1560</v>
      </c>
      <c r="G164" s="1246">
        <f t="shared" si="13"/>
        <v>21060</v>
      </c>
      <c r="H164" s="1246">
        <f t="shared" si="14"/>
        <v>21060</v>
      </c>
      <c r="I164" s="1283">
        <v>21010</v>
      </c>
      <c r="J164" s="1283">
        <v>21010</v>
      </c>
      <c r="K164" s="1248"/>
    </row>
    <row r="165" spans="1:11">
      <c r="A165" s="1284">
        <v>53</v>
      </c>
      <c r="B165" s="1244" t="s">
        <v>941</v>
      </c>
      <c r="C165" s="1282" t="s">
        <v>366</v>
      </c>
      <c r="D165" s="1282">
        <v>1</v>
      </c>
      <c r="E165" s="1245">
        <v>8000</v>
      </c>
      <c r="F165" s="1246">
        <f t="shared" si="12"/>
        <v>640</v>
      </c>
      <c r="G165" s="1246">
        <f t="shared" si="13"/>
        <v>8640</v>
      </c>
      <c r="H165" s="1246">
        <f t="shared" si="14"/>
        <v>8640</v>
      </c>
      <c r="I165" s="1283">
        <v>4500</v>
      </c>
      <c r="J165" s="1283">
        <v>4500</v>
      </c>
    </row>
    <row r="166" spans="1:11" s="1256" customFormat="1">
      <c r="A166" s="1284">
        <v>54</v>
      </c>
      <c r="B166" s="1244" t="s">
        <v>942</v>
      </c>
      <c r="C166" s="1282" t="s">
        <v>943</v>
      </c>
      <c r="D166" s="1282">
        <v>1</v>
      </c>
      <c r="E166" s="1261">
        <v>15000</v>
      </c>
      <c r="F166" s="1246">
        <f t="shared" si="12"/>
        <v>1200</v>
      </c>
      <c r="G166" s="1246">
        <f t="shared" si="13"/>
        <v>16200</v>
      </c>
      <c r="H166" s="1246">
        <f t="shared" si="14"/>
        <v>16200</v>
      </c>
      <c r="I166" s="1283">
        <v>5500</v>
      </c>
      <c r="J166" s="1283">
        <v>5500</v>
      </c>
      <c r="K166" s="1248"/>
    </row>
    <row r="167" spans="1:11" s="1256" customFormat="1">
      <c r="A167" s="1284">
        <v>55</v>
      </c>
      <c r="B167" s="1244" t="s">
        <v>944</v>
      </c>
      <c r="C167" s="1282" t="s">
        <v>380</v>
      </c>
      <c r="D167" s="1282">
        <v>1</v>
      </c>
      <c r="E167" s="1261">
        <v>90298</v>
      </c>
      <c r="F167" s="1246">
        <f t="shared" si="12"/>
        <v>7223.84</v>
      </c>
      <c r="G167" s="1246">
        <f t="shared" si="13"/>
        <v>97521.84</v>
      </c>
      <c r="H167" s="1246">
        <f t="shared" si="14"/>
        <v>97521.84</v>
      </c>
      <c r="I167" s="1283">
        <v>199000</v>
      </c>
      <c r="J167" s="1283">
        <v>199000</v>
      </c>
      <c r="K167" s="1248"/>
    </row>
    <row r="168" spans="1:11" s="1256" customFormat="1">
      <c r="A168" s="1284">
        <v>56</v>
      </c>
      <c r="B168" s="1249" t="s">
        <v>800</v>
      </c>
      <c r="C168" s="1285" t="s">
        <v>945</v>
      </c>
      <c r="D168" s="1282">
        <v>1</v>
      </c>
      <c r="E168" s="1261">
        <v>239200</v>
      </c>
      <c r="F168" s="1246">
        <f t="shared" si="12"/>
        <v>19136</v>
      </c>
      <c r="G168" s="1246">
        <f t="shared" si="13"/>
        <v>258336</v>
      </c>
      <c r="H168" s="1246">
        <f t="shared" si="14"/>
        <v>258336</v>
      </c>
      <c r="I168" s="1283">
        <v>350000</v>
      </c>
      <c r="J168" s="1283">
        <v>350000</v>
      </c>
      <c r="K168" s="1248"/>
    </row>
    <row r="169" spans="1:11" s="1256" customFormat="1">
      <c r="A169" s="1284">
        <v>57</v>
      </c>
      <c r="B169" s="1244" t="s">
        <v>802</v>
      </c>
      <c r="C169" s="1243" t="s">
        <v>366</v>
      </c>
      <c r="D169" s="1282">
        <v>1</v>
      </c>
      <c r="E169" s="1244">
        <v>50000</v>
      </c>
      <c r="F169" s="1246">
        <f t="shared" si="12"/>
        <v>4000</v>
      </c>
      <c r="G169" s="1246">
        <f t="shared" si="13"/>
        <v>54000</v>
      </c>
      <c r="H169" s="1246">
        <f t="shared" si="14"/>
        <v>54000</v>
      </c>
      <c r="I169" s="1283">
        <v>35000</v>
      </c>
      <c r="J169" s="1283">
        <v>35000</v>
      </c>
      <c r="K169" s="1248"/>
    </row>
    <row r="170" spans="1:11">
      <c r="A170" s="1284">
        <v>58</v>
      </c>
      <c r="B170" s="1244" t="s">
        <v>946</v>
      </c>
      <c r="C170" s="1243" t="s">
        <v>366</v>
      </c>
      <c r="D170" s="1282">
        <v>1</v>
      </c>
      <c r="E170" s="1245">
        <v>5000</v>
      </c>
      <c r="F170" s="1246">
        <f t="shared" si="12"/>
        <v>400</v>
      </c>
      <c r="G170" s="1246">
        <f t="shared" si="13"/>
        <v>5400</v>
      </c>
      <c r="H170" s="1246">
        <f t="shared" si="14"/>
        <v>5400</v>
      </c>
      <c r="I170" s="1283">
        <v>2900</v>
      </c>
      <c r="J170" s="1283">
        <v>2900</v>
      </c>
    </row>
    <row r="171" spans="1:11" ht="28.5">
      <c r="A171" s="1284">
        <v>59</v>
      </c>
      <c r="B171" s="1244" t="s">
        <v>843</v>
      </c>
      <c r="C171" s="1243" t="s">
        <v>366</v>
      </c>
      <c r="D171" s="1282">
        <v>1</v>
      </c>
      <c r="E171" s="1245">
        <v>29500</v>
      </c>
      <c r="F171" s="1246">
        <f t="shared" si="12"/>
        <v>2360</v>
      </c>
      <c r="G171" s="1246">
        <f t="shared" si="13"/>
        <v>31860</v>
      </c>
      <c r="H171" s="1246">
        <f t="shared" si="14"/>
        <v>31860</v>
      </c>
      <c r="I171" s="1283">
        <v>17000</v>
      </c>
      <c r="J171" s="1283">
        <v>17000</v>
      </c>
      <c r="K171" s="1248" t="s">
        <v>844</v>
      </c>
    </row>
    <row r="172" spans="1:11">
      <c r="A172" s="1284">
        <v>60</v>
      </c>
      <c r="B172" s="1257" t="s">
        <v>947</v>
      </c>
      <c r="C172" s="1243" t="s">
        <v>894</v>
      </c>
      <c r="D172" s="1282">
        <v>1</v>
      </c>
      <c r="E172" s="1245">
        <v>201480</v>
      </c>
      <c r="F172" s="1246">
        <f t="shared" si="12"/>
        <v>16118.4</v>
      </c>
      <c r="G172" s="1246">
        <f t="shared" si="13"/>
        <v>217598.4</v>
      </c>
      <c r="H172" s="1246">
        <f t="shared" si="14"/>
        <v>217598.4</v>
      </c>
      <c r="I172" s="1283">
        <v>198000.00000000003</v>
      </c>
      <c r="J172" s="1283">
        <v>198000.00000000003</v>
      </c>
    </row>
    <row r="173" spans="1:11">
      <c r="A173" s="1240" t="s">
        <v>672</v>
      </c>
      <c r="B173" s="1280" t="s">
        <v>948</v>
      </c>
      <c r="C173" s="1281"/>
      <c r="D173" s="1282"/>
      <c r="E173" s="1282"/>
      <c r="F173" s="1281"/>
      <c r="G173" s="1281"/>
      <c r="H173" s="1246">
        <f t="shared" si="14"/>
        <v>0</v>
      </c>
      <c r="I173" s="1283"/>
      <c r="J173" s="1283"/>
    </row>
    <row r="174" spans="1:11">
      <c r="A174" s="1284">
        <v>1</v>
      </c>
      <c r="B174" s="1244" t="s">
        <v>949</v>
      </c>
      <c r="C174" s="1243" t="s">
        <v>950</v>
      </c>
      <c r="D174" s="1282">
        <v>1</v>
      </c>
      <c r="E174" s="1286">
        <v>2226</v>
      </c>
      <c r="F174" s="1262">
        <f t="shared" ref="F174:F176" si="15">E174*8%</f>
        <v>178.08</v>
      </c>
      <c r="G174" s="1262">
        <f t="shared" ref="G174:G176" si="16">E174+F174</f>
        <v>2404.08</v>
      </c>
      <c r="H174" s="1246">
        <f t="shared" si="14"/>
        <v>2404.08</v>
      </c>
      <c r="I174" s="1283">
        <v>2204.0655000000002</v>
      </c>
      <c r="J174" s="1283">
        <v>2204.0655000000002</v>
      </c>
    </row>
    <row r="175" spans="1:11">
      <c r="A175" s="1284">
        <v>2</v>
      </c>
      <c r="B175" s="1244" t="s">
        <v>951</v>
      </c>
      <c r="C175" s="1243" t="s">
        <v>952</v>
      </c>
      <c r="D175" s="1282">
        <v>1</v>
      </c>
      <c r="E175" s="1286">
        <v>19600</v>
      </c>
      <c r="F175" s="1246">
        <f t="shared" si="15"/>
        <v>1568</v>
      </c>
      <c r="G175" s="1246">
        <f t="shared" si="16"/>
        <v>21168</v>
      </c>
      <c r="H175" s="1246">
        <f t="shared" si="14"/>
        <v>21168</v>
      </c>
      <c r="I175" s="1283">
        <v>19830</v>
      </c>
      <c r="J175" s="1283">
        <v>19830</v>
      </c>
      <c r="K175" s="1287"/>
    </row>
    <row r="176" spans="1:11">
      <c r="A176" s="1288">
        <v>3</v>
      </c>
      <c r="B176" s="1289" t="s">
        <v>953</v>
      </c>
      <c r="C176" s="1243" t="s">
        <v>952</v>
      </c>
      <c r="D176" s="1282">
        <v>1</v>
      </c>
      <c r="E176" s="1282">
        <v>150000</v>
      </c>
      <c r="F176" s="1246">
        <f t="shared" si="15"/>
        <v>12000</v>
      </c>
      <c r="G176" s="1246">
        <f t="shared" si="16"/>
        <v>162000</v>
      </c>
      <c r="H176" s="1246">
        <f t="shared" si="14"/>
        <v>162000</v>
      </c>
      <c r="I176" s="1283">
        <v>136250</v>
      </c>
      <c r="J176" s="1283">
        <v>136250</v>
      </c>
    </row>
    <row r="177" spans="2:10">
      <c r="B177" s="1290" t="s">
        <v>954</v>
      </c>
      <c r="J177" s="1292">
        <f>SUM(J3:J176)</f>
        <v>2661418714.9018631</v>
      </c>
    </row>
  </sheetData>
  <mergeCells count="3">
    <mergeCell ref="I103:I104"/>
    <mergeCell ref="J103:J104"/>
    <mergeCell ref="K103:K10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rgb="FFFFC000"/>
  </sheetPr>
  <dimension ref="A1:L75"/>
  <sheetViews>
    <sheetView showZeros="0" workbookViewId="0">
      <pane ySplit="6" topLeftCell="A7" activePane="bottomLeft" state="frozen"/>
      <selection pane="bottomLeft" activeCell="P70" sqref="P70"/>
    </sheetView>
  </sheetViews>
  <sheetFormatPr defaultColWidth="9" defaultRowHeight="15.75"/>
  <cols>
    <col min="1" max="1" width="4.33203125" style="3" customWidth="1"/>
    <col min="2" max="2" width="8" style="3" customWidth="1"/>
    <col min="3" max="3" width="5.33203125" style="3" bestFit="1" customWidth="1"/>
    <col min="4" max="4" width="10.21875" style="4" bestFit="1" customWidth="1"/>
    <col min="5" max="5" width="9.109375" style="4" bestFit="1" customWidth="1"/>
    <col min="6" max="6" width="9.6640625" style="4" bestFit="1" customWidth="1"/>
    <col min="7" max="7" width="8.6640625" style="4" bestFit="1" customWidth="1"/>
    <col min="8" max="8" width="10.109375" style="4" bestFit="1" customWidth="1"/>
    <col min="9" max="9" width="10.21875" style="4" bestFit="1" customWidth="1"/>
    <col min="10" max="10" width="12.33203125" style="4" customWidth="1"/>
    <col min="11" max="11" width="9.109375" style="4" customWidth="1"/>
    <col min="12" max="16384" width="9" style="4"/>
  </cols>
  <sheetData>
    <row r="1" spans="1:11" s="1" customFormat="1" ht="18.75">
      <c r="A1" s="1368" t="s">
        <v>768</v>
      </c>
      <c r="B1" s="1368"/>
      <c r="C1" s="1368"/>
      <c r="D1" s="1368"/>
      <c r="E1" s="1368"/>
      <c r="F1" s="1368"/>
      <c r="G1" s="1368"/>
      <c r="H1" s="1368"/>
      <c r="I1" s="1368"/>
      <c r="J1" s="1368"/>
    </row>
    <row r="2" spans="1:11">
      <c r="A2" s="2"/>
    </row>
    <row r="3" spans="1:11" s="3" customFormat="1" ht="24.95" customHeight="1">
      <c r="A3" s="959" t="s">
        <v>47</v>
      </c>
      <c r="B3" s="959" t="s">
        <v>54</v>
      </c>
      <c r="C3" s="959" t="s">
        <v>50</v>
      </c>
      <c r="D3" s="959" t="s">
        <v>55</v>
      </c>
      <c r="E3" s="1369" t="s">
        <v>578</v>
      </c>
      <c r="F3" s="959" t="s">
        <v>23</v>
      </c>
      <c r="G3" s="959" t="s">
        <v>64</v>
      </c>
      <c r="H3" s="959" t="s">
        <v>21</v>
      </c>
      <c r="I3" s="959"/>
      <c r="J3" s="959" t="s">
        <v>56</v>
      </c>
      <c r="K3" s="893" t="s">
        <v>64</v>
      </c>
    </row>
    <row r="4" spans="1:11" s="3" customFormat="1" ht="24.95" customHeight="1">
      <c r="A4" s="959" t="s">
        <v>19</v>
      </c>
      <c r="B4" s="960"/>
      <c r="C4" s="959" t="s">
        <v>51</v>
      </c>
      <c r="D4" s="961">
        <v>2340000</v>
      </c>
      <c r="E4" s="1369"/>
      <c r="F4" s="959" t="s">
        <v>57</v>
      </c>
      <c r="G4" s="959" t="s">
        <v>543</v>
      </c>
      <c r="H4" s="962">
        <v>0.23499999999999999</v>
      </c>
      <c r="I4" s="959" t="s">
        <v>58</v>
      </c>
      <c r="J4" s="959" t="s">
        <v>72</v>
      </c>
      <c r="K4" s="893">
        <v>0.2</v>
      </c>
    </row>
    <row r="5" spans="1:11" s="3" customFormat="1" ht="24.95" customHeight="1">
      <c r="A5" s="959"/>
      <c r="B5" s="959"/>
      <c r="C5" s="959"/>
      <c r="D5" s="959"/>
      <c r="E5" s="1369"/>
      <c r="F5" s="959">
        <f>0.2/5</f>
        <v>0.04</v>
      </c>
      <c r="G5" s="959">
        <v>0.4</v>
      </c>
      <c r="H5" s="959" t="s">
        <v>59</v>
      </c>
      <c r="I5" s="959"/>
      <c r="J5" s="963">
        <v>26</v>
      </c>
      <c r="K5" s="893"/>
    </row>
    <row r="6" spans="1:11">
      <c r="A6" s="959">
        <v>1</v>
      </c>
      <c r="B6" s="328">
        <v>2</v>
      </c>
      <c r="C6" s="328">
        <v>3</v>
      </c>
      <c r="D6" s="328">
        <v>4</v>
      </c>
      <c r="E6" s="328">
        <v>5</v>
      </c>
      <c r="F6" s="328">
        <v>7</v>
      </c>
      <c r="G6" s="328">
        <v>8</v>
      </c>
      <c r="H6" s="328">
        <v>9</v>
      </c>
      <c r="I6" s="328">
        <v>10</v>
      </c>
      <c r="J6" s="328">
        <v>11</v>
      </c>
      <c r="K6" s="894"/>
    </row>
    <row r="7" spans="1:11">
      <c r="A7" s="964" t="s">
        <v>60</v>
      </c>
      <c r="B7" s="893"/>
      <c r="C7" s="965"/>
      <c r="D7" s="966"/>
      <c r="E7" s="966"/>
      <c r="F7" s="966"/>
      <c r="G7" s="966"/>
      <c r="H7" s="966"/>
      <c r="I7" s="966"/>
      <c r="J7" s="966"/>
      <c r="K7" s="894"/>
    </row>
    <row r="8" spans="1:11">
      <c r="A8" s="967" t="s">
        <v>20</v>
      </c>
      <c r="B8" s="967" t="s">
        <v>70</v>
      </c>
      <c r="C8" s="965"/>
      <c r="D8" s="966"/>
      <c r="E8" s="966"/>
      <c r="F8" s="966"/>
      <c r="G8" s="966"/>
      <c r="H8" s="966"/>
      <c r="I8" s="966"/>
      <c r="J8" s="968">
        <f>I8/J$5</f>
        <v>0</v>
      </c>
      <c r="K8" s="894"/>
    </row>
    <row r="9" spans="1:11">
      <c r="A9" s="893"/>
      <c r="B9" s="893">
        <v>1</v>
      </c>
      <c r="C9" s="893">
        <v>2.34</v>
      </c>
      <c r="D9" s="969">
        <f t="shared" ref="D9:D17" si="0">C9*$D$4</f>
        <v>5475600</v>
      </c>
      <c r="E9" s="969">
        <f t="shared" ref="E9:E17" si="1">D9*$E$4</f>
        <v>0</v>
      </c>
      <c r="F9" s="968"/>
      <c r="G9" s="968"/>
      <c r="H9" s="968">
        <f>(D9+G9)*$H$4</f>
        <v>1286766</v>
      </c>
      <c r="I9" s="968">
        <f>SUM(D9:H9)</f>
        <v>6762366</v>
      </c>
      <c r="J9" s="968">
        <f>I9/J$5</f>
        <v>260091</v>
      </c>
      <c r="K9" s="968">
        <v>18000</v>
      </c>
    </row>
    <row r="10" spans="1:11">
      <c r="A10" s="893"/>
      <c r="B10" s="893">
        <v>2</v>
      </c>
      <c r="C10" s="970">
        <f t="shared" ref="C10:C17" si="2">C9+0.33</f>
        <v>2.67</v>
      </c>
      <c r="D10" s="969">
        <f t="shared" si="0"/>
        <v>6247800</v>
      </c>
      <c r="E10" s="969">
        <f t="shared" si="1"/>
        <v>0</v>
      </c>
      <c r="F10" s="968"/>
      <c r="G10" s="968"/>
      <c r="H10" s="968">
        <f t="shared" ref="H10:H59" si="3">(D10+G10)*$H$4</f>
        <v>1468233</v>
      </c>
      <c r="I10" s="968">
        <f>SUM(D10:H10)</f>
        <v>7716033</v>
      </c>
      <c r="J10" s="968">
        <f t="shared" ref="J10:J17" si="4">I10/J$5</f>
        <v>296770.5</v>
      </c>
      <c r="K10" s="968">
        <v>18000</v>
      </c>
    </row>
    <row r="11" spans="1:11">
      <c r="A11" s="893"/>
      <c r="B11" s="893">
        <v>3</v>
      </c>
      <c r="C11" s="970">
        <f t="shared" si="2"/>
        <v>3</v>
      </c>
      <c r="D11" s="969">
        <f t="shared" si="0"/>
        <v>7020000</v>
      </c>
      <c r="E11" s="969">
        <f t="shared" si="1"/>
        <v>0</v>
      </c>
      <c r="F11" s="968"/>
      <c r="G11" s="968"/>
      <c r="H11" s="968">
        <f t="shared" si="3"/>
        <v>1649700</v>
      </c>
      <c r="I11" s="968">
        <f t="shared" ref="I11:I16" si="5">SUM(D11:H11)</f>
        <v>8669700</v>
      </c>
      <c r="J11" s="968">
        <f t="shared" si="4"/>
        <v>333450</v>
      </c>
      <c r="K11" s="968">
        <v>18000</v>
      </c>
    </row>
    <row r="12" spans="1:11">
      <c r="A12" s="893"/>
      <c r="B12" s="893">
        <v>4</v>
      </c>
      <c r="C12" s="970">
        <f t="shared" si="2"/>
        <v>3.33</v>
      </c>
      <c r="D12" s="969">
        <f t="shared" si="0"/>
        <v>7792200</v>
      </c>
      <c r="E12" s="969">
        <f>D12*$E$4</f>
        <v>0</v>
      </c>
      <c r="F12" s="968"/>
      <c r="G12" s="968"/>
      <c r="H12" s="968">
        <f t="shared" si="3"/>
        <v>1831167</v>
      </c>
      <c r="I12" s="968">
        <f t="shared" si="5"/>
        <v>9623367</v>
      </c>
      <c r="J12" s="968">
        <f t="shared" si="4"/>
        <v>370129.5</v>
      </c>
      <c r="K12" s="968">
        <v>18000</v>
      </c>
    </row>
    <row r="13" spans="1:11">
      <c r="A13" s="893"/>
      <c r="B13" s="893">
        <v>5</v>
      </c>
      <c r="C13" s="970">
        <f t="shared" si="2"/>
        <v>3.66</v>
      </c>
      <c r="D13" s="969">
        <f t="shared" si="0"/>
        <v>8564400</v>
      </c>
      <c r="E13" s="969">
        <f t="shared" si="1"/>
        <v>0</v>
      </c>
      <c r="F13" s="968"/>
      <c r="G13" s="968"/>
      <c r="H13" s="968">
        <f t="shared" si="3"/>
        <v>2012634</v>
      </c>
      <c r="I13" s="968">
        <f t="shared" si="5"/>
        <v>10577034</v>
      </c>
      <c r="J13" s="968">
        <f t="shared" si="4"/>
        <v>406809</v>
      </c>
      <c r="K13" s="968">
        <v>18000</v>
      </c>
    </row>
    <row r="14" spans="1:11">
      <c r="A14" s="893"/>
      <c r="B14" s="893">
        <v>6</v>
      </c>
      <c r="C14" s="970">
        <f t="shared" si="2"/>
        <v>3.99</v>
      </c>
      <c r="D14" s="969">
        <f t="shared" si="0"/>
        <v>9336600</v>
      </c>
      <c r="E14" s="969">
        <f t="shared" si="1"/>
        <v>0</v>
      </c>
      <c r="F14" s="968"/>
      <c r="G14" s="968"/>
      <c r="H14" s="968">
        <f t="shared" si="3"/>
        <v>2194101</v>
      </c>
      <c r="I14" s="968">
        <f t="shared" si="5"/>
        <v>11530701</v>
      </c>
      <c r="J14" s="968">
        <f t="shared" si="4"/>
        <v>443488.5</v>
      </c>
      <c r="K14" s="968">
        <v>18000</v>
      </c>
    </row>
    <row r="15" spans="1:11">
      <c r="A15" s="893"/>
      <c r="B15" s="893">
        <v>7</v>
      </c>
      <c r="C15" s="970">
        <f t="shared" si="2"/>
        <v>4.32</v>
      </c>
      <c r="D15" s="969">
        <f t="shared" si="0"/>
        <v>10108800</v>
      </c>
      <c r="E15" s="969">
        <f t="shared" si="1"/>
        <v>0</v>
      </c>
      <c r="F15" s="968"/>
      <c r="G15" s="968"/>
      <c r="H15" s="968">
        <f t="shared" si="3"/>
        <v>2375568</v>
      </c>
      <c r="I15" s="968">
        <f t="shared" si="5"/>
        <v>12484368</v>
      </c>
      <c r="J15" s="968">
        <f t="shared" si="4"/>
        <v>480168</v>
      </c>
      <c r="K15" s="968">
        <v>18000</v>
      </c>
    </row>
    <row r="16" spans="1:11">
      <c r="A16" s="893"/>
      <c r="B16" s="893">
        <v>8</v>
      </c>
      <c r="C16" s="970">
        <f t="shared" si="2"/>
        <v>4.6500000000000004</v>
      </c>
      <c r="D16" s="969">
        <f t="shared" si="0"/>
        <v>10881000</v>
      </c>
      <c r="E16" s="969">
        <f t="shared" si="1"/>
        <v>0</v>
      </c>
      <c r="F16" s="968"/>
      <c r="G16" s="968"/>
      <c r="H16" s="968">
        <f t="shared" si="3"/>
        <v>2557035</v>
      </c>
      <c r="I16" s="968">
        <f t="shared" si="5"/>
        <v>13438035</v>
      </c>
      <c r="J16" s="968">
        <f t="shared" si="4"/>
        <v>516847.5</v>
      </c>
      <c r="K16" s="968">
        <v>18000</v>
      </c>
    </row>
    <row r="17" spans="1:12">
      <c r="A17" s="893"/>
      <c r="B17" s="893">
        <v>9</v>
      </c>
      <c r="C17" s="970">
        <f t="shared" si="2"/>
        <v>4.9800000000000004</v>
      </c>
      <c r="D17" s="969">
        <f t="shared" si="0"/>
        <v>11653200.000000002</v>
      </c>
      <c r="E17" s="969">
        <f t="shared" si="1"/>
        <v>0</v>
      </c>
      <c r="F17" s="968"/>
      <c r="G17" s="968"/>
      <c r="H17" s="968">
        <f>(D17+G17)*$H$4</f>
        <v>2738502.0000000005</v>
      </c>
      <c r="I17" s="968">
        <f>SUM(D17:H17)</f>
        <v>14391702.000000002</v>
      </c>
      <c r="J17" s="968">
        <f t="shared" si="4"/>
        <v>553527.00000000012</v>
      </c>
      <c r="K17" s="968">
        <v>18000</v>
      </c>
    </row>
    <row r="18" spans="1:12">
      <c r="A18" s="967" t="s">
        <v>22</v>
      </c>
      <c r="B18" s="971" t="s">
        <v>65</v>
      </c>
      <c r="C18" s="970"/>
      <c r="D18" s="969"/>
      <c r="E18" s="969"/>
      <c r="F18" s="968"/>
      <c r="G18" s="968"/>
      <c r="H18" s="968"/>
      <c r="I18" s="968"/>
      <c r="J18" s="968"/>
      <c r="K18" s="894"/>
    </row>
    <row r="19" spans="1:12">
      <c r="A19" s="893"/>
      <c r="B19" s="893">
        <v>1</v>
      </c>
      <c r="C19" s="970">
        <v>1.86</v>
      </c>
      <c r="D19" s="969">
        <f t="shared" ref="D19:D30" si="6">C19*$D$4</f>
        <v>4352400</v>
      </c>
      <c r="E19" s="969">
        <f t="shared" ref="E19:E30" si="7">D19*$E$4</f>
        <v>0</v>
      </c>
      <c r="F19" s="968"/>
      <c r="G19" s="968"/>
      <c r="H19" s="968">
        <f t="shared" si="3"/>
        <v>1022814</v>
      </c>
      <c r="I19" s="968">
        <f t="shared" ref="I19:I30" si="8">SUM(D19:H19)</f>
        <v>5375214</v>
      </c>
      <c r="J19" s="968">
        <f>I19/J$5</f>
        <v>206739</v>
      </c>
      <c r="K19" s="968">
        <v>18000</v>
      </c>
    </row>
    <row r="20" spans="1:12">
      <c r="A20" s="893"/>
      <c r="B20" s="893">
        <v>2</v>
      </c>
      <c r="C20" s="970">
        <f t="shared" ref="C20:C30" si="9">C19+0.2</f>
        <v>2.06</v>
      </c>
      <c r="D20" s="969">
        <f t="shared" si="6"/>
        <v>4820400</v>
      </c>
      <c r="E20" s="969">
        <f t="shared" si="7"/>
        <v>0</v>
      </c>
      <c r="F20" s="968"/>
      <c r="G20" s="968"/>
      <c r="H20" s="968">
        <f t="shared" si="3"/>
        <v>1132794</v>
      </c>
      <c r="I20" s="968">
        <f t="shared" si="8"/>
        <v>5953194</v>
      </c>
      <c r="J20" s="968">
        <f t="shared" ref="J20:J30" si="10">I20/J$5</f>
        <v>228969</v>
      </c>
      <c r="K20" s="968">
        <v>18000</v>
      </c>
      <c r="L20" s="23"/>
    </row>
    <row r="21" spans="1:12">
      <c r="A21" s="893"/>
      <c r="B21" s="893">
        <v>3</v>
      </c>
      <c r="C21" s="970">
        <f t="shared" si="9"/>
        <v>2.2600000000000002</v>
      </c>
      <c r="D21" s="969">
        <f t="shared" si="6"/>
        <v>5288400.0000000009</v>
      </c>
      <c r="E21" s="969">
        <f t="shared" si="7"/>
        <v>0</v>
      </c>
      <c r="F21" s="968"/>
      <c r="G21" s="968"/>
      <c r="H21" s="968">
        <f t="shared" si="3"/>
        <v>1242774.0000000002</v>
      </c>
      <c r="I21" s="968">
        <f t="shared" si="8"/>
        <v>6531174.0000000009</v>
      </c>
      <c r="J21" s="968">
        <f t="shared" si="10"/>
        <v>251199.00000000003</v>
      </c>
      <c r="K21" s="968">
        <v>18000</v>
      </c>
      <c r="L21" s="23"/>
    </row>
    <row r="22" spans="1:12">
      <c r="A22" s="893"/>
      <c r="B22" s="893">
        <v>4</v>
      </c>
      <c r="C22" s="970">
        <f t="shared" si="9"/>
        <v>2.4600000000000004</v>
      </c>
      <c r="D22" s="969">
        <f t="shared" si="6"/>
        <v>5756400.0000000009</v>
      </c>
      <c r="E22" s="969">
        <f t="shared" si="7"/>
        <v>0</v>
      </c>
      <c r="F22" s="968"/>
      <c r="G22" s="968"/>
      <c r="H22" s="968">
        <f t="shared" si="3"/>
        <v>1352754.0000000002</v>
      </c>
      <c r="I22" s="968">
        <f t="shared" si="8"/>
        <v>7109154.0000000009</v>
      </c>
      <c r="J22" s="968">
        <f t="shared" si="10"/>
        <v>273429.00000000006</v>
      </c>
      <c r="K22" s="968">
        <v>18000</v>
      </c>
      <c r="L22" s="23"/>
    </row>
    <row r="23" spans="1:12">
      <c r="A23" s="893"/>
      <c r="B23" s="893">
        <v>5</v>
      </c>
      <c r="C23" s="970">
        <f t="shared" si="9"/>
        <v>2.6600000000000006</v>
      </c>
      <c r="D23" s="969">
        <f t="shared" si="6"/>
        <v>6224400.0000000009</v>
      </c>
      <c r="E23" s="969">
        <f t="shared" si="7"/>
        <v>0</v>
      </c>
      <c r="F23" s="968"/>
      <c r="G23" s="968"/>
      <c r="H23" s="968">
        <f t="shared" si="3"/>
        <v>1462734.0000000002</v>
      </c>
      <c r="I23" s="968">
        <f t="shared" si="8"/>
        <v>7687134.0000000009</v>
      </c>
      <c r="J23" s="968">
        <f t="shared" si="10"/>
        <v>295659.00000000006</v>
      </c>
      <c r="K23" s="968">
        <v>18000</v>
      </c>
      <c r="L23" s="23"/>
    </row>
    <row r="24" spans="1:12">
      <c r="A24" s="893"/>
      <c r="B24" s="893">
        <v>6</v>
      </c>
      <c r="C24" s="970">
        <f t="shared" si="9"/>
        <v>2.8600000000000008</v>
      </c>
      <c r="D24" s="969">
        <f t="shared" si="6"/>
        <v>6692400.0000000019</v>
      </c>
      <c r="E24" s="969">
        <f t="shared" si="7"/>
        <v>0</v>
      </c>
      <c r="F24" s="968"/>
      <c r="G24" s="968"/>
      <c r="H24" s="968">
        <f t="shared" si="3"/>
        <v>1572714.0000000002</v>
      </c>
      <c r="I24" s="968">
        <f t="shared" si="8"/>
        <v>8265114.0000000019</v>
      </c>
      <c r="J24" s="968">
        <f t="shared" si="10"/>
        <v>317889.00000000006</v>
      </c>
      <c r="K24" s="968">
        <v>18000</v>
      </c>
      <c r="L24" s="23"/>
    </row>
    <row r="25" spans="1:12">
      <c r="A25" s="893"/>
      <c r="B25" s="893">
        <v>7</v>
      </c>
      <c r="C25" s="970">
        <f t="shared" si="9"/>
        <v>3.0600000000000009</v>
      </c>
      <c r="D25" s="969">
        <f t="shared" si="6"/>
        <v>7160400.0000000019</v>
      </c>
      <c r="E25" s="969">
        <f t="shared" si="7"/>
        <v>0</v>
      </c>
      <c r="F25" s="968"/>
      <c r="G25" s="968"/>
      <c r="H25" s="968">
        <f t="shared" si="3"/>
        <v>1682694.0000000002</v>
      </c>
      <c r="I25" s="968">
        <f t="shared" si="8"/>
        <v>8843094.0000000019</v>
      </c>
      <c r="J25" s="968">
        <f t="shared" si="10"/>
        <v>340119.00000000006</v>
      </c>
      <c r="K25" s="968">
        <v>18000</v>
      </c>
      <c r="L25" s="23"/>
    </row>
    <row r="26" spans="1:12">
      <c r="A26" s="893"/>
      <c r="B26" s="893">
        <v>8</v>
      </c>
      <c r="C26" s="970">
        <f t="shared" si="9"/>
        <v>3.2600000000000011</v>
      </c>
      <c r="D26" s="969">
        <f t="shared" si="6"/>
        <v>7628400.0000000028</v>
      </c>
      <c r="E26" s="969">
        <f t="shared" si="7"/>
        <v>0</v>
      </c>
      <c r="F26" s="968"/>
      <c r="G26" s="968"/>
      <c r="H26" s="968">
        <f t="shared" si="3"/>
        <v>1792674.0000000005</v>
      </c>
      <c r="I26" s="968">
        <f t="shared" si="8"/>
        <v>9421074.0000000037</v>
      </c>
      <c r="J26" s="968">
        <f t="shared" si="10"/>
        <v>362349.00000000012</v>
      </c>
      <c r="K26" s="968">
        <v>18000</v>
      </c>
      <c r="L26" s="23"/>
    </row>
    <row r="27" spans="1:12">
      <c r="A27" s="893"/>
      <c r="B27" s="893">
        <v>9</v>
      </c>
      <c r="C27" s="970">
        <f t="shared" si="9"/>
        <v>3.4600000000000013</v>
      </c>
      <c r="D27" s="969">
        <f t="shared" si="6"/>
        <v>8096400.0000000028</v>
      </c>
      <c r="E27" s="969">
        <f t="shared" si="7"/>
        <v>0</v>
      </c>
      <c r="F27" s="968"/>
      <c r="G27" s="968"/>
      <c r="H27" s="968">
        <f t="shared" si="3"/>
        <v>1902654.0000000005</v>
      </c>
      <c r="I27" s="968">
        <f t="shared" si="8"/>
        <v>9999054.0000000037</v>
      </c>
      <c r="J27" s="968">
        <f t="shared" si="10"/>
        <v>384579.00000000012</v>
      </c>
      <c r="K27" s="968">
        <v>18000</v>
      </c>
    </row>
    <row r="28" spans="1:12">
      <c r="A28" s="893"/>
      <c r="B28" s="893">
        <v>10</v>
      </c>
      <c r="C28" s="970">
        <f t="shared" si="9"/>
        <v>3.6600000000000015</v>
      </c>
      <c r="D28" s="969">
        <f t="shared" si="6"/>
        <v>8564400.0000000037</v>
      </c>
      <c r="E28" s="969">
        <f t="shared" si="7"/>
        <v>0</v>
      </c>
      <c r="F28" s="968"/>
      <c r="G28" s="968"/>
      <c r="H28" s="968">
        <f t="shared" si="3"/>
        <v>2012634.0000000007</v>
      </c>
      <c r="I28" s="968">
        <f t="shared" si="8"/>
        <v>10577034.000000004</v>
      </c>
      <c r="J28" s="968">
        <f t="shared" si="10"/>
        <v>406809.00000000012</v>
      </c>
      <c r="K28" s="968">
        <v>18000</v>
      </c>
    </row>
    <row r="29" spans="1:12">
      <c r="A29" s="893"/>
      <c r="B29" s="893">
        <v>11</v>
      </c>
      <c r="C29" s="970">
        <f t="shared" si="9"/>
        <v>3.8600000000000017</v>
      </c>
      <c r="D29" s="969">
        <f t="shared" si="6"/>
        <v>9032400.0000000037</v>
      </c>
      <c r="E29" s="969">
        <f t="shared" si="7"/>
        <v>0</v>
      </c>
      <c r="F29" s="968"/>
      <c r="G29" s="968"/>
      <c r="H29" s="968">
        <f t="shared" si="3"/>
        <v>2122614.0000000009</v>
      </c>
      <c r="I29" s="968">
        <f>SUM(D29:H29)</f>
        <v>11155014.000000004</v>
      </c>
      <c r="J29" s="968">
        <f t="shared" si="10"/>
        <v>429039.00000000012</v>
      </c>
      <c r="K29" s="968">
        <v>18000</v>
      </c>
    </row>
    <row r="30" spans="1:12">
      <c r="A30" s="893"/>
      <c r="B30" s="893">
        <v>12</v>
      </c>
      <c r="C30" s="970">
        <f t="shared" si="9"/>
        <v>4.0600000000000014</v>
      </c>
      <c r="D30" s="969">
        <f t="shared" si="6"/>
        <v>9500400.0000000037</v>
      </c>
      <c r="E30" s="969">
        <f t="shared" si="7"/>
        <v>0</v>
      </c>
      <c r="F30" s="968"/>
      <c r="G30" s="968"/>
      <c r="H30" s="968">
        <f t="shared" si="3"/>
        <v>2232594.0000000009</v>
      </c>
      <c r="I30" s="968">
        <f t="shared" si="8"/>
        <v>11732994.000000004</v>
      </c>
      <c r="J30" s="968">
        <f t="shared" si="10"/>
        <v>451269.00000000012</v>
      </c>
      <c r="K30" s="968">
        <v>18000</v>
      </c>
    </row>
    <row r="31" spans="1:12" hidden="1">
      <c r="A31" s="967" t="s">
        <v>139</v>
      </c>
      <c r="B31" s="971" t="s">
        <v>96</v>
      </c>
      <c r="C31" s="970"/>
      <c r="D31" s="969"/>
      <c r="E31" s="969"/>
      <c r="F31" s="968"/>
      <c r="G31" s="968"/>
      <c r="H31" s="968"/>
      <c r="I31" s="968"/>
      <c r="J31" s="968">
        <f t="shared" ref="J31:J35" si="11">I31/J$5+K31</f>
        <v>0</v>
      </c>
      <c r="K31" s="894"/>
      <c r="L31" s="23"/>
    </row>
    <row r="32" spans="1:12" hidden="1">
      <c r="A32" s="893"/>
      <c r="B32" s="893">
        <v>1</v>
      </c>
      <c r="C32" s="970">
        <v>2.1800000000000002</v>
      </c>
      <c r="D32" s="969">
        <f>C32*$D$4</f>
        <v>5101200</v>
      </c>
      <c r="E32" s="969">
        <f>D32*$E$4</f>
        <v>0</v>
      </c>
      <c r="F32" s="968">
        <f>$D$4*$F$5</f>
        <v>93600</v>
      </c>
      <c r="G32" s="968">
        <f>$D$4*$G$5</f>
        <v>936000</v>
      </c>
      <c r="H32" s="968">
        <f t="shared" si="3"/>
        <v>1418742</v>
      </c>
      <c r="I32" s="968">
        <f>SUM(D32:H32)</f>
        <v>7549542</v>
      </c>
      <c r="J32" s="968">
        <f t="shared" si="11"/>
        <v>290367</v>
      </c>
      <c r="K32" s="894"/>
    </row>
    <row r="33" spans="1:11" hidden="1">
      <c r="A33" s="893"/>
      <c r="B33" s="893">
        <v>2</v>
      </c>
      <c r="C33" s="970">
        <v>2.57</v>
      </c>
      <c r="D33" s="969">
        <f>C33*$D$4</f>
        <v>6013800</v>
      </c>
      <c r="E33" s="969">
        <f>D33*$E$4</f>
        <v>0</v>
      </c>
      <c r="F33" s="968">
        <f>$D$4*$F$5</f>
        <v>93600</v>
      </c>
      <c r="G33" s="968">
        <f>$D$4*$G$5</f>
        <v>936000</v>
      </c>
      <c r="H33" s="968">
        <f t="shared" si="3"/>
        <v>1633203</v>
      </c>
      <c r="I33" s="968">
        <f>SUM(D33:H33)</f>
        <v>8676603</v>
      </c>
      <c r="J33" s="968">
        <f t="shared" si="11"/>
        <v>333715.5</v>
      </c>
      <c r="K33" s="894"/>
    </row>
    <row r="34" spans="1:11" hidden="1">
      <c r="A34" s="893"/>
      <c r="B34" s="893">
        <v>3</v>
      </c>
      <c r="C34" s="970">
        <v>3.05</v>
      </c>
      <c r="D34" s="969">
        <f>C34*$D$4</f>
        <v>7137000</v>
      </c>
      <c r="E34" s="969">
        <f>D34*$E$4</f>
        <v>0</v>
      </c>
      <c r="F34" s="968">
        <f>$D$4*$F$5</f>
        <v>93600</v>
      </c>
      <c r="G34" s="968">
        <f>$D$4*$G$5</f>
        <v>936000</v>
      </c>
      <c r="H34" s="968">
        <f t="shared" si="3"/>
        <v>1897155</v>
      </c>
      <c r="I34" s="968">
        <f>SUM(D34:H34)</f>
        <v>10063755</v>
      </c>
      <c r="J34" s="968">
        <f t="shared" si="11"/>
        <v>387067.5</v>
      </c>
      <c r="K34" s="894"/>
    </row>
    <row r="35" spans="1:11" hidden="1">
      <c r="A35" s="893"/>
      <c r="B35" s="893">
        <v>4</v>
      </c>
      <c r="C35" s="970">
        <v>3.5</v>
      </c>
      <c r="D35" s="969">
        <f>C35*$D$4</f>
        <v>8190000</v>
      </c>
      <c r="E35" s="969">
        <f>D35*$E$4</f>
        <v>0</v>
      </c>
      <c r="F35" s="968">
        <f>$D$4*$F$5</f>
        <v>93600</v>
      </c>
      <c r="G35" s="968">
        <f>$D$4*$G$5</f>
        <v>936000</v>
      </c>
      <c r="H35" s="968">
        <f t="shared" si="3"/>
        <v>2144610</v>
      </c>
      <c r="I35" s="968">
        <f>SUM(D35:H35)</f>
        <v>11364210</v>
      </c>
      <c r="J35" s="968">
        <f t="shared" si="11"/>
        <v>437085</v>
      </c>
      <c r="K35" s="894"/>
    </row>
    <row r="36" spans="1:11">
      <c r="A36" s="964" t="s">
        <v>61</v>
      </c>
      <c r="B36" s="893"/>
      <c r="C36" s="965"/>
      <c r="D36" s="966"/>
      <c r="E36" s="966"/>
      <c r="F36" s="966"/>
      <c r="G36" s="966"/>
      <c r="H36" s="968"/>
      <c r="I36" s="968"/>
      <c r="J36" s="968"/>
      <c r="K36" s="894"/>
    </row>
    <row r="37" spans="1:11">
      <c r="A37" s="967" t="s">
        <v>20</v>
      </c>
      <c r="B37" s="967" t="s">
        <v>70</v>
      </c>
      <c r="C37" s="965"/>
      <c r="D37" s="966"/>
      <c r="E37" s="966"/>
      <c r="F37" s="966"/>
      <c r="G37" s="966"/>
      <c r="H37" s="968"/>
      <c r="I37" s="966"/>
      <c r="J37" s="968"/>
      <c r="K37" s="894"/>
    </row>
    <row r="38" spans="1:11">
      <c r="A38" s="893"/>
      <c r="B38" s="893">
        <v>1</v>
      </c>
      <c r="C38" s="893">
        <v>2.34</v>
      </c>
      <c r="D38" s="969">
        <f t="shared" ref="D38:D43" si="12">C38*$D$4</f>
        <v>5475600</v>
      </c>
      <c r="E38" s="969">
        <f t="shared" ref="E38:E43" si="13">D38*$E$4</f>
        <v>0</v>
      </c>
      <c r="F38" s="968"/>
      <c r="G38" s="968"/>
      <c r="H38" s="968">
        <f t="shared" si="3"/>
        <v>1286766</v>
      </c>
      <c r="I38" s="968">
        <f t="shared" ref="I38:I43" si="14">SUM(D38:H38)</f>
        <v>6762366</v>
      </c>
      <c r="J38" s="968">
        <f>I38/J$5</f>
        <v>260091</v>
      </c>
      <c r="K38" s="968">
        <v>18000</v>
      </c>
    </row>
    <row r="39" spans="1:11">
      <c r="A39" s="893"/>
      <c r="B39" s="893">
        <v>2</v>
      </c>
      <c r="C39" s="970">
        <f t="shared" ref="C39:C46" si="15">C38+0.33</f>
        <v>2.67</v>
      </c>
      <c r="D39" s="969">
        <f t="shared" si="12"/>
        <v>6247800</v>
      </c>
      <c r="E39" s="969">
        <f t="shared" si="13"/>
        <v>0</v>
      </c>
      <c r="F39" s="968"/>
      <c r="G39" s="968"/>
      <c r="H39" s="968">
        <f t="shared" si="3"/>
        <v>1468233</v>
      </c>
      <c r="I39" s="968">
        <f t="shared" si="14"/>
        <v>7716033</v>
      </c>
      <c r="J39" s="968">
        <f t="shared" ref="J39:J46" si="16">I39/J$5</f>
        <v>296770.5</v>
      </c>
      <c r="K39" s="968">
        <v>18000</v>
      </c>
    </row>
    <row r="40" spans="1:11">
      <c r="A40" s="893"/>
      <c r="B40" s="893">
        <v>3</v>
      </c>
      <c r="C40" s="970">
        <f t="shared" si="15"/>
        <v>3</v>
      </c>
      <c r="D40" s="969">
        <f t="shared" si="12"/>
        <v>7020000</v>
      </c>
      <c r="E40" s="969">
        <f t="shared" si="13"/>
        <v>0</v>
      </c>
      <c r="F40" s="968"/>
      <c r="G40" s="968"/>
      <c r="H40" s="968">
        <f t="shared" si="3"/>
        <v>1649700</v>
      </c>
      <c r="I40" s="968">
        <f t="shared" si="14"/>
        <v>8669700</v>
      </c>
      <c r="J40" s="968">
        <f t="shared" si="16"/>
        <v>333450</v>
      </c>
      <c r="K40" s="968">
        <v>18000</v>
      </c>
    </row>
    <row r="41" spans="1:11">
      <c r="A41" s="893"/>
      <c r="B41" s="893">
        <v>4</v>
      </c>
      <c r="C41" s="970">
        <f t="shared" si="15"/>
        <v>3.33</v>
      </c>
      <c r="D41" s="969">
        <f t="shared" si="12"/>
        <v>7792200</v>
      </c>
      <c r="E41" s="969">
        <f t="shared" si="13"/>
        <v>0</v>
      </c>
      <c r="F41" s="968"/>
      <c r="G41" s="968"/>
      <c r="H41" s="968">
        <f t="shared" si="3"/>
        <v>1831167</v>
      </c>
      <c r="I41" s="968">
        <f t="shared" si="14"/>
        <v>9623367</v>
      </c>
      <c r="J41" s="968">
        <f t="shared" si="16"/>
        <v>370129.5</v>
      </c>
      <c r="K41" s="968">
        <v>18000</v>
      </c>
    </row>
    <row r="42" spans="1:11">
      <c r="A42" s="893"/>
      <c r="B42" s="893">
        <v>5</v>
      </c>
      <c r="C42" s="970">
        <f t="shared" si="15"/>
        <v>3.66</v>
      </c>
      <c r="D42" s="969">
        <f t="shared" si="12"/>
        <v>8564400</v>
      </c>
      <c r="E42" s="969">
        <f t="shared" si="13"/>
        <v>0</v>
      </c>
      <c r="F42" s="968"/>
      <c r="G42" s="968"/>
      <c r="H42" s="968">
        <f t="shared" si="3"/>
        <v>2012634</v>
      </c>
      <c r="I42" s="968">
        <f t="shared" si="14"/>
        <v>10577034</v>
      </c>
      <c r="J42" s="968">
        <f t="shared" si="16"/>
        <v>406809</v>
      </c>
      <c r="K42" s="968">
        <v>18000</v>
      </c>
    </row>
    <row r="43" spans="1:11">
      <c r="A43" s="893"/>
      <c r="B43" s="893">
        <v>6</v>
      </c>
      <c r="C43" s="970">
        <f t="shared" si="15"/>
        <v>3.99</v>
      </c>
      <c r="D43" s="969">
        <f t="shared" si="12"/>
        <v>9336600</v>
      </c>
      <c r="E43" s="969">
        <f t="shared" si="13"/>
        <v>0</v>
      </c>
      <c r="F43" s="968"/>
      <c r="G43" s="968"/>
      <c r="H43" s="968">
        <f t="shared" si="3"/>
        <v>2194101</v>
      </c>
      <c r="I43" s="968">
        <f t="shared" si="14"/>
        <v>11530701</v>
      </c>
      <c r="J43" s="968">
        <f t="shared" si="16"/>
        <v>443488.5</v>
      </c>
      <c r="K43" s="968">
        <v>18000</v>
      </c>
    </row>
    <row r="44" spans="1:11">
      <c r="A44" s="893"/>
      <c r="B44" s="893">
        <v>7</v>
      </c>
      <c r="C44" s="970">
        <f t="shared" si="15"/>
        <v>4.32</v>
      </c>
      <c r="D44" s="969">
        <f>C44*$D$4</f>
        <v>10108800</v>
      </c>
      <c r="E44" s="969">
        <f>D44*$E$4</f>
        <v>0</v>
      </c>
      <c r="F44" s="968"/>
      <c r="G44" s="968"/>
      <c r="H44" s="968">
        <f t="shared" si="3"/>
        <v>2375568</v>
      </c>
      <c r="I44" s="968">
        <f>SUM(D44:H44)</f>
        <v>12484368</v>
      </c>
      <c r="J44" s="968">
        <f t="shared" si="16"/>
        <v>480168</v>
      </c>
      <c r="K44" s="968">
        <v>18000</v>
      </c>
    </row>
    <row r="45" spans="1:11">
      <c r="A45" s="893"/>
      <c r="B45" s="893">
        <v>8</v>
      </c>
      <c r="C45" s="970">
        <f t="shared" si="15"/>
        <v>4.6500000000000004</v>
      </c>
      <c r="D45" s="969">
        <f>C45*$D$4</f>
        <v>10881000</v>
      </c>
      <c r="E45" s="969">
        <f>D45*$E$4</f>
        <v>0</v>
      </c>
      <c r="F45" s="968"/>
      <c r="G45" s="968"/>
      <c r="H45" s="968">
        <f t="shared" si="3"/>
        <v>2557035</v>
      </c>
      <c r="I45" s="968">
        <f>SUM(D45:H45)</f>
        <v>13438035</v>
      </c>
      <c r="J45" s="968">
        <f t="shared" si="16"/>
        <v>516847.5</v>
      </c>
      <c r="K45" s="968">
        <v>18000</v>
      </c>
    </row>
    <row r="46" spans="1:11">
      <c r="A46" s="893"/>
      <c r="B46" s="893">
        <v>9</v>
      </c>
      <c r="C46" s="970">
        <f t="shared" si="15"/>
        <v>4.9800000000000004</v>
      </c>
      <c r="D46" s="969">
        <f>C46*$D$4</f>
        <v>11653200.000000002</v>
      </c>
      <c r="E46" s="969">
        <f>D46*$E$4</f>
        <v>0</v>
      </c>
      <c r="F46" s="968"/>
      <c r="G46" s="968"/>
      <c r="H46" s="968">
        <f t="shared" si="3"/>
        <v>2738502.0000000005</v>
      </c>
      <c r="I46" s="968">
        <f>SUM(D46:H46)</f>
        <v>14391702.000000002</v>
      </c>
      <c r="J46" s="968">
        <f t="shared" si="16"/>
        <v>553527.00000000012</v>
      </c>
      <c r="K46" s="968">
        <v>18000</v>
      </c>
    </row>
    <row r="47" spans="1:11">
      <c r="A47" s="967" t="s">
        <v>22</v>
      </c>
      <c r="B47" s="971" t="s">
        <v>65</v>
      </c>
      <c r="C47" s="970"/>
      <c r="D47" s="969"/>
      <c r="E47" s="969"/>
      <c r="F47" s="968"/>
      <c r="G47" s="968"/>
      <c r="H47" s="968"/>
      <c r="I47" s="968"/>
      <c r="J47" s="968"/>
      <c r="K47" s="894"/>
    </row>
    <row r="48" spans="1:11">
      <c r="A48" s="893"/>
      <c r="B48" s="893">
        <v>1</v>
      </c>
      <c r="C48" s="970">
        <v>1.86</v>
      </c>
      <c r="D48" s="969">
        <f>C48*$D$4</f>
        <v>4352400</v>
      </c>
      <c r="E48" s="969">
        <f>D48*$E$4</f>
        <v>0</v>
      </c>
      <c r="F48" s="968"/>
      <c r="G48" s="968"/>
      <c r="H48" s="968">
        <f t="shared" si="3"/>
        <v>1022814</v>
      </c>
      <c r="I48" s="968">
        <f>SUM(D48:H48)</f>
        <v>5375214</v>
      </c>
      <c r="J48" s="968">
        <f>I48/J$5</f>
        <v>206739</v>
      </c>
      <c r="K48" s="968">
        <v>18000</v>
      </c>
    </row>
    <row r="49" spans="1:11">
      <c r="A49" s="893"/>
      <c r="B49" s="893">
        <v>2</v>
      </c>
      <c r="C49" s="970">
        <f t="shared" ref="C49:C59" si="17">C48+0.2</f>
        <v>2.06</v>
      </c>
      <c r="D49" s="969">
        <f>C49*$D$4</f>
        <v>4820400</v>
      </c>
      <c r="E49" s="969">
        <f>D49*$E$4</f>
        <v>0</v>
      </c>
      <c r="F49" s="968"/>
      <c r="G49" s="968"/>
      <c r="H49" s="968">
        <f t="shared" si="3"/>
        <v>1132794</v>
      </c>
      <c r="I49" s="968">
        <f>SUM(D49:H49)</f>
        <v>5953194</v>
      </c>
      <c r="J49" s="968">
        <f t="shared" ref="J49:J59" si="18">I49/J$5</f>
        <v>228969</v>
      </c>
      <c r="K49" s="968">
        <v>18000</v>
      </c>
    </row>
    <row r="50" spans="1:11">
      <c r="A50" s="893"/>
      <c r="B50" s="893">
        <v>3</v>
      </c>
      <c r="C50" s="970">
        <f t="shared" si="17"/>
        <v>2.2600000000000002</v>
      </c>
      <c r="D50" s="969">
        <f>C50*$D$4</f>
        <v>5288400.0000000009</v>
      </c>
      <c r="E50" s="969">
        <f>D50*$E$4</f>
        <v>0</v>
      </c>
      <c r="F50" s="968"/>
      <c r="G50" s="968"/>
      <c r="H50" s="968">
        <f t="shared" si="3"/>
        <v>1242774.0000000002</v>
      </c>
      <c r="I50" s="968">
        <f>SUM(D50:H50)</f>
        <v>6531174.0000000009</v>
      </c>
      <c r="J50" s="968">
        <f t="shared" si="18"/>
        <v>251199.00000000003</v>
      </c>
      <c r="K50" s="968">
        <v>18000</v>
      </c>
    </row>
    <row r="51" spans="1:11">
      <c r="A51" s="893"/>
      <c r="B51" s="893">
        <v>4</v>
      </c>
      <c r="C51" s="970">
        <f t="shared" si="17"/>
        <v>2.4600000000000004</v>
      </c>
      <c r="D51" s="969">
        <f t="shared" ref="D51:D57" si="19">C51*$D$4</f>
        <v>5756400.0000000009</v>
      </c>
      <c r="E51" s="969">
        <f t="shared" ref="E51:E57" si="20">D51*$E$4</f>
        <v>0</v>
      </c>
      <c r="F51" s="968"/>
      <c r="G51" s="968"/>
      <c r="H51" s="968">
        <f t="shared" si="3"/>
        <v>1352754.0000000002</v>
      </c>
      <c r="I51" s="968">
        <f t="shared" ref="I51:I57" si="21">SUM(D51:H51)</f>
        <v>7109154.0000000009</v>
      </c>
      <c r="J51" s="968">
        <f t="shared" si="18"/>
        <v>273429.00000000006</v>
      </c>
      <c r="K51" s="968">
        <v>18000</v>
      </c>
    </row>
    <row r="52" spans="1:11">
      <c r="A52" s="893"/>
      <c r="B52" s="893">
        <v>5</v>
      </c>
      <c r="C52" s="970">
        <f t="shared" si="17"/>
        <v>2.6600000000000006</v>
      </c>
      <c r="D52" s="969">
        <f t="shared" si="19"/>
        <v>6224400.0000000009</v>
      </c>
      <c r="E52" s="969">
        <f t="shared" si="20"/>
        <v>0</v>
      </c>
      <c r="F52" s="968"/>
      <c r="G52" s="968"/>
      <c r="H52" s="968">
        <f t="shared" si="3"/>
        <v>1462734.0000000002</v>
      </c>
      <c r="I52" s="968">
        <f t="shared" si="21"/>
        <v>7687134.0000000009</v>
      </c>
      <c r="J52" s="968">
        <f t="shared" si="18"/>
        <v>295659.00000000006</v>
      </c>
      <c r="K52" s="968">
        <v>18000</v>
      </c>
    </row>
    <row r="53" spans="1:11">
      <c r="A53" s="893"/>
      <c r="B53" s="893">
        <v>6</v>
      </c>
      <c r="C53" s="970">
        <f t="shared" si="17"/>
        <v>2.8600000000000008</v>
      </c>
      <c r="D53" s="969">
        <f t="shared" si="19"/>
        <v>6692400.0000000019</v>
      </c>
      <c r="E53" s="969">
        <f t="shared" si="20"/>
        <v>0</v>
      </c>
      <c r="F53" s="968"/>
      <c r="G53" s="968"/>
      <c r="H53" s="968">
        <f t="shared" si="3"/>
        <v>1572714.0000000002</v>
      </c>
      <c r="I53" s="968">
        <f t="shared" si="21"/>
        <v>8265114.0000000019</v>
      </c>
      <c r="J53" s="968">
        <f t="shared" si="18"/>
        <v>317889.00000000006</v>
      </c>
      <c r="K53" s="968">
        <v>18000</v>
      </c>
    </row>
    <row r="54" spans="1:11">
      <c r="A54" s="893"/>
      <c r="B54" s="893">
        <v>7</v>
      </c>
      <c r="C54" s="970">
        <f t="shared" si="17"/>
        <v>3.0600000000000009</v>
      </c>
      <c r="D54" s="969">
        <f t="shared" si="19"/>
        <v>7160400.0000000019</v>
      </c>
      <c r="E54" s="969">
        <f t="shared" si="20"/>
        <v>0</v>
      </c>
      <c r="F54" s="968"/>
      <c r="G54" s="968"/>
      <c r="H54" s="968">
        <f t="shared" si="3"/>
        <v>1682694.0000000002</v>
      </c>
      <c r="I54" s="968">
        <f t="shared" si="21"/>
        <v>8843094.0000000019</v>
      </c>
      <c r="J54" s="968">
        <f t="shared" si="18"/>
        <v>340119.00000000006</v>
      </c>
      <c r="K54" s="968">
        <v>18000</v>
      </c>
    </row>
    <row r="55" spans="1:11">
      <c r="A55" s="893"/>
      <c r="B55" s="893">
        <v>8</v>
      </c>
      <c r="C55" s="970">
        <f t="shared" si="17"/>
        <v>3.2600000000000011</v>
      </c>
      <c r="D55" s="969">
        <f t="shared" si="19"/>
        <v>7628400.0000000028</v>
      </c>
      <c r="E55" s="969">
        <f t="shared" si="20"/>
        <v>0</v>
      </c>
      <c r="F55" s="968"/>
      <c r="G55" s="968"/>
      <c r="H55" s="968">
        <f t="shared" si="3"/>
        <v>1792674.0000000005</v>
      </c>
      <c r="I55" s="968">
        <f t="shared" si="21"/>
        <v>9421074.0000000037</v>
      </c>
      <c r="J55" s="968">
        <f t="shared" si="18"/>
        <v>362349.00000000012</v>
      </c>
      <c r="K55" s="968">
        <v>18000</v>
      </c>
    </row>
    <row r="56" spans="1:11">
      <c r="A56" s="893"/>
      <c r="B56" s="893">
        <v>9</v>
      </c>
      <c r="C56" s="970">
        <f t="shared" si="17"/>
        <v>3.4600000000000013</v>
      </c>
      <c r="D56" s="969">
        <f t="shared" si="19"/>
        <v>8096400.0000000028</v>
      </c>
      <c r="E56" s="969">
        <f t="shared" si="20"/>
        <v>0</v>
      </c>
      <c r="F56" s="968"/>
      <c r="G56" s="968"/>
      <c r="H56" s="968">
        <f t="shared" si="3"/>
        <v>1902654.0000000005</v>
      </c>
      <c r="I56" s="968">
        <f t="shared" si="21"/>
        <v>9999054.0000000037</v>
      </c>
      <c r="J56" s="968">
        <f t="shared" si="18"/>
        <v>384579.00000000012</v>
      </c>
      <c r="K56" s="968">
        <v>18000</v>
      </c>
    </row>
    <row r="57" spans="1:11">
      <c r="A57" s="893"/>
      <c r="B57" s="893">
        <v>10</v>
      </c>
      <c r="C57" s="970">
        <f t="shared" si="17"/>
        <v>3.6600000000000015</v>
      </c>
      <c r="D57" s="969">
        <f t="shared" si="19"/>
        <v>8564400.0000000037</v>
      </c>
      <c r="E57" s="969">
        <f t="shared" si="20"/>
        <v>0</v>
      </c>
      <c r="F57" s="968"/>
      <c r="G57" s="968"/>
      <c r="H57" s="968">
        <f t="shared" si="3"/>
        <v>2012634.0000000007</v>
      </c>
      <c r="I57" s="968">
        <f t="shared" si="21"/>
        <v>10577034.000000004</v>
      </c>
      <c r="J57" s="968">
        <f t="shared" si="18"/>
        <v>406809.00000000012</v>
      </c>
      <c r="K57" s="968">
        <v>18000</v>
      </c>
    </row>
    <row r="58" spans="1:11">
      <c r="A58" s="893"/>
      <c r="B58" s="893">
        <v>11</v>
      </c>
      <c r="C58" s="970">
        <f t="shared" si="17"/>
        <v>3.8600000000000017</v>
      </c>
      <c r="D58" s="969">
        <f>C58*$D$4</f>
        <v>9032400.0000000037</v>
      </c>
      <c r="E58" s="969">
        <f>D58*$E$4</f>
        <v>0</v>
      </c>
      <c r="F58" s="968"/>
      <c r="G58" s="968"/>
      <c r="H58" s="968">
        <f t="shared" si="3"/>
        <v>2122614.0000000009</v>
      </c>
      <c r="I58" s="968">
        <f>SUM(D58:H58)</f>
        <v>11155014.000000004</v>
      </c>
      <c r="J58" s="968">
        <f t="shared" si="18"/>
        <v>429039.00000000012</v>
      </c>
      <c r="K58" s="968">
        <v>18000</v>
      </c>
    </row>
    <row r="59" spans="1:11">
      <c r="A59" s="893"/>
      <c r="B59" s="893">
        <v>12</v>
      </c>
      <c r="C59" s="970">
        <f t="shared" si="17"/>
        <v>4.0600000000000014</v>
      </c>
      <c r="D59" s="969">
        <f>C59*$D$4</f>
        <v>9500400.0000000037</v>
      </c>
      <c r="E59" s="969">
        <f>D59*$E$4</f>
        <v>0</v>
      </c>
      <c r="F59" s="968"/>
      <c r="G59" s="968"/>
      <c r="H59" s="968">
        <f t="shared" si="3"/>
        <v>2232594.0000000009</v>
      </c>
      <c r="I59" s="968">
        <f>SUM(D59:H59)</f>
        <v>11732994.000000004</v>
      </c>
      <c r="J59" s="968">
        <f t="shared" si="18"/>
        <v>451269.00000000012</v>
      </c>
      <c r="K59" s="968">
        <v>18000</v>
      </c>
    </row>
    <row r="60" spans="1:11" hidden="1">
      <c r="A60" s="972" t="s">
        <v>638</v>
      </c>
      <c r="B60" s="893"/>
      <c r="C60" s="970"/>
      <c r="D60" s="969"/>
      <c r="E60" s="969"/>
      <c r="F60" s="968"/>
      <c r="G60" s="973"/>
      <c r="H60" s="968"/>
      <c r="I60" s="968"/>
      <c r="J60" s="968"/>
      <c r="K60" s="894"/>
    </row>
    <row r="61" spans="1:11" hidden="1">
      <c r="A61" s="964"/>
      <c r="B61" s="971" t="s">
        <v>62</v>
      </c>
      <c r="C61" s="970"/>
      <c r="D61" s="969"/>
      <c r="E61" s="969"/>
      <c r="F61" s="968"/>
      <c r="G61" s="968"/>
      <c r="H61" s="968"/>
      <c r="I61" s="968"/>
      <c r="J61" s="968"/>
      <c r="K61" s="894"/>
    </row>
    <row r="62" spans="1:11" hidden="1">
      <c r="A62" s="893">
        <v>1</v>
      </c>
      <c r="B62" s="1367" t="s">
        <v>97</v>
      </c>
      <c r="C62" s="1367"/>
      <c r="D62" s="969">
        <f>$D$4*0.2</f>
        <v>468000</v>
      </c>
      <c r="E62" s="969">
        <f>D62*E$4</f>
        <v>0</v>
      </c>
      <c r="F62" s="968"/>
      <c r="G62" s="974">
        <v>1.28</v>
      </c>
      <c r="H62" s="968">
        <f>D62*$H$4</f>
        <v>109980</v>
      </c>
      <c r="I62" s="968">
        <f>(D62++E62+H62)*G62</f>
        <v>739814.40000000002</v>
      </c>
      <c r="J62" s="968">
        <f>I62/J$5</f>
        <v>28454.400000000001</v>
      </c>
      <c r="K62" s="894"/>
    </row>
    <row r="63" spans="1:11" hidden="1">
      <c r="A63" s="893">
        <v>2</v>
      </c>
      <c r="B63" s="1367" t="s">
        <v>66</v>
      </c>
      <c r="C63" s="1367"/>
      <c r="D63" s="969">
        <f t="shared" ref="D63:D68" si="22">$D$4*0.2</f>
        <v>468000</v>
      </c>
      <c r="E63" s="969">
        <f>D63*E$4</f>
        <v>0</v>
      </c>
      <c r="F63" s="968"/>
      <c r="G63" s="974">
        <v>1.25</v>
      </c>
      <c r="H63" s="968">
        <f>D63*$H$4</f>
        <v>109980</v>
      </c>
      <c r="I63" s="968">
        <f>(D63++E63+H63)*G63</f>
        <v>722475</v>
      </c>
      <c r="J63" s="968">
        <f>I63/J$5</f>
        <v>27787.5</v>
      </c>
      <c r="K63" s="894"/>
    </row>
    <row r="64" spans="1:11" hidden="1">
      <c r="A64" s="893">
        <v>3</v>
      </c>
      <c r="B64" s="1367" t="s">
        <v>67</v>
      </c>
      <c r="C64" s="1367"/>
      <c r="D64" s="969">
        <f t="shared" si="22"/>
        <v>468000</v>
      </c>
      <c r="E64" s="969">
        <f>D64*E$4</f>
        <v>0</v>
      </c>
      <c r="F64" s="968"/>
      <c r="G64" s="974">
        <v>1.2</v>
      </c>
      <c r="H64" s="968">
        <f>D64*$H$4</f>
        <v>109980</v>
      </c>
      <c r="I64" s="968">
        <f>(D64++E64+H64)*G64</f>
        <v>693576</v>
      </c>
      <c r="J64" s="968">
        <f>I64/J$5</f>
        <v>26676</v>
      </c>
      <c r="K64" s="894"/>
    </row>
    <row r="65" spans="1:11" hidden="1">
      <c r="A65" s="964"/>
      <c r="B65" s="971" t="s">
        <v>63</v>
      </c>
      <c r="C65" s="970"/>
      <c r="D65" s="969"/>
      <c r="E65" s="969"/>
      <c r="F65" s="968"/>
      <c r="G65" s="975"/>
      <c r="H65" s="968"/>
      <c r="I65" s="968"/>
      <c r="J65" s="968"/>
      <c r="K65" s="894"/>
    </row>
    <row r="66" spans="1:11" hidden="1">
      <c r="A66" s="893">
        <v>1</v>
      </c>
      <c r="B66" s="1367" t="s">
        <v>97</v>
      </c>
      <c r="C66" s="1367"/>
      <c r="D66" s="969">
        <f t="shared" si="22"/>
        <v>468000</v>
      </c>
      <c r="E66" s="969">
        <f>D66*E$4</f>
        <v>0</v>
      </c>
      <c r="F66" s="968"/>
      <c r="G66" s="974">
        <v>1.1499999999999999</v>
      </c>
      <c r="H66" s="968">
        <f>D66*$H$4</f>
        <v>109980</v>
      </c>
      <c r="I66" s="968">
        <f>(D66++E66+H66)*G66</f>
        <v>664677</v>
      </c>
      <c r="J66" s="968">
        <f>I66/J$5</f>
        <v>25564.5</v>
      </c>
      <c r="K66" s="894"/>
    </row>
    <row r="67" spans="1:11" hidden="1">
      <c r="A67" s="893">
        <v>2</v>
      </c>
      <c r="B67" s="1367" t="s">
        <v>66</v>
      </c>
      <c r="C67" s="1367"/>
      <c r="D67" s="969">
        <f t="shared" si="22"/>
        <v>468000</v>
      </c>
      <c r="E67" s="969">
        <f>D67*E$4</f>
        <v>0</v>
      </c>
      <c r="F67" s="968"/>
      <c r="G67" s="974">
        <v>1.1499999999999999</v>
      </c>
      <c r="H67" s="968">
        <f>D67*$H$4</f>
        <v>109980</v>
      </c>
      <c r="I67" s="968">
        <f>(D67++E67+H67)*G67</f>
        <v>664677</v>
      </c>
      <c r="J67" s="968">
        <f>I67/J$5</f>
        <v>25564.5</v>
      </c>
      <c r="K67" s="894"/>
    </row>
    <row r="68" spans="1:11" hidden="1">
      <c r="A68" s="893">
        <v>3</v>
      </c>
      <c r="B68" s="1367" t="s">
        <v>67</v>
      </c>
      <c r="C68" s="1367"/>
      <c r="D68" s="969">
        <f t="shared" si="22"/>
        <v>468000</v>
      </c>
      <c r="E68" s="969">
        <f>D68*E$4</f>
        <v>0</v>
      </c>
      <c r="F68" s="968"/>
      <c r="G68" s="974">
        <v>1.1499999999999999</v>
      </c>
      <c r="H68" s="968">
        <f>D68*$H$4</f>
        <v>109980</v>
      </c>
      <c r="I68" s="968">
        <f>(D68++E68+H68)*G68</f>
        <v>664677</v>
      </c>
      <c r="J68" s="968">
        <f>I68/J$5</f>
        <v>25564.5</v>
      </c>
      <c r="K68" s="894"/>
    </row>
    <row r="69" spans="1:11" hidden="1">
      <c r="A69" s="893"/>
      <c r="B69" s="971" t="s">
        <v>352</v>
      </c>
      <c r="C69" s="971"/>
      <c r="D69" s="969"/>
      <c r="E69" s="969"/>
      <c r="F69" s="968"/>
      <c r="G69" s="976"/>
      <c r="H69" s="968"/>
      <c r="I69" s="977">
        <v>730000</v>
      </c>
      <c r="J69" s="978">
        <f>I69/J5</f>
        <v>28076.923076923078</v>
      </c>
      <c r="K69" s="894"/>
    </row>
    <row r="70" spans="1:11">
      <c r="A70" s="893"/>
      <c r="B70" s="971" t="s">
        <v>52</v>
      </c>
      <c r="C70" s="971"/>
      <c r="D70" s="969"/>
      <c r="E70" s="969"/>
      <c r="F70" s="968"/>
      <c r="G70" s="976"/>
      <c r="H70" s="968"/>
      <c r="I70" s="977">
        <v>3860000</v>
      </c>
      <c r="J70" s="979">
        <f>J72</f>
        <v>181923.07692307694</v>
      </c>
      <c r="K70" s="894"/>
    </row>
    <row r="71" spans="1:11" s="891" customFormat="1" ht="16.5">
      <c r="A71" s="895"/>
      <c r="B71" s="890" t="s">
        <v>582</v>
      </c>
      <c r="C71" s="896"/>
      <c r="D71" s="896"/>
      <c r="E71" s="897"/>
      <c r="F71" s="897"/>
      <c r="G71" s="897"/>
      <c r="H71" s="897"/>
      <c r="I71" s="968">
        <v>5310000</v>
      </c>
      <c r="J71" s="892">
        <f>I71/26</f>
        <v>204230.76923076922</v>
      </c>
      <c r="K71" s="894"/>
    </row>
    <row r="72" spans="1:11" s="891" customFormat="1" ht="16.5">
      <c r="A72" s="895"/>
      <c r="B72" s="890" t="s">
        <v>583</v>
      </c>
      <c r="C72" s="896"/>
      <c r="D72" s="896"/>
      <c r="E72" s="898"/>
      <c r="F72" s="898"/>
      <c r="G72" s="898"/>
      <c r="H72" s="898"/>
      <c r="I72" s="968">
        <v>4730000</v>
      </c>
      <c r="J72" s="892">
        <f t="shared" ref="J72:J75" si="23">I72/26</f>
        <v>181923.07692307694</v>
      </c>
      <c r="K72" s="894"/>
    </row>
    <row r="73" spans="1:11" s="891" customFormat="1" ht="16.5">
      <c r="A73" s="895"/>
      <c r="B73" s="890" t="s">
        <v>584</v>
      </c>
      <c r="C73" s="896"/>
      <c r="D73" s="896"/>
      <c r="E73" s="896"/>
      <c r="F73" s="896"/>
      <c r="G73" s="896"/>
      <c r="H73" s="896"/>
      <c r="I73" s="968">
        <v>4140000</v>
      </c>
      <c r="J73" s="892">
        <f t="shared" si="23"/>
        <v>159230.76923076922</v>
      </c>
      <c r="K73" s="894"/>
    </row>
    <row r="74" spans="1:11" s="891" customFormat="1" ht="16.5">
      <c r="A74" s="895"/>
      <c r="B74" s="890" t="s">
        <v>585</v>
      </c>
      <c r="C74" s="896"/>
      <c r="D74" s="896"/>
      <c r="E74" s="896"/>
      <c r="F74" s="896"/>
      <c r="G74" s="896"/>
      <c r="H74" s="896"/>
      <c r="I74" s="968">
        <f>I73</f>
        <v>4140000</v>
      </c>
      <c r="J74" s="892">
        <f t="shared" si="23"/>
        <v>159230.76923076922</v>
      </c>
      <c r="K74" s="894"/>
    </row>
    <row r="75" spans="1:11" s="891" customFormat="1" ht="16.5">
      <c r="A75" s="895"/>
      <c r="B75" s="890" t="s">
        <v>586</v>
      </c>
      <c r="C75" s="896"/>
      <c r="D75" s="896"/>
      <c r="E75" s="896"/>
      <c r="F75" s="896"/>
      <c r="G75" s="896"/>
      <c r="H75" s="896"/>
      <c r="I75" s="968">
        <v>3700000</v>
      </c>
      <c r="J75" s="892">
        <f t="shared" si="23"/>
        <v>142307.69230769231</v>
      </c>
      <c r="K75" s="894"/>
    </row>
  </sheetData>
  <mergeCells count="8">
    <mergeCell ref="B67:C67"/>
    <mergeCell ref="B68:C68"/>
    <mergeCell ref="A1:J1"/>
    <mergeCell ref="B63:C63"/>
    <mergeCell ref="B64:C64"/>
    <mergeCell ref="B62:C62"/>
    <mergeCell ref="B66:C66"/>
    <mergeCell ref="E3:E5"/>
  </mergeCells>
  <phoneticPr fontId="0" type="noConversion"/>
  <printOptions horizontalCentered="1"/>
  <pageMargins left="0.39370078740157483" right="0.19685039370078741" top="0.39370078740157483" bottom="0.59055118110236227" header="0.19685039370078741" footer="0.19685039370078741"/>
  <pageSetup paperSize="9" firstPageNumber="53" orientation="portrait" useFirstPageNumber="1"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00B050"/>
  </sheetPr>
  <dimension ref="A1:AM501"/>
  <sheetViews>
    <sheetView zoomScale="90" zoomScaleNormal="90" workbookViewId="0">
      <pane xSplit="2" ySplit="11" topLeftCell="C425" activePane="bottomRight" state="frozen"/>
      <selection pane="topRight" activeCell="C1" sqref="C1"/>
      <selection pane="bottomLeft" activeCell="A12" sqref="A12"/>
      <selection pane="bottomRight" activeCell="B432" sqref="A1:XFD1048576"/>
    </sheetView>
  </sheetViews>
  <sheetFormatPr defaultColWidth="9" defaultRowHeight="12.75"/>
  <cols>
    <col min="1" max="1" width="6.21875" style="90" customWidth="1"/>
    <col min="2" max="2" width="32.33203125" style="85" customWidth="1"/>
    <col min="3" max="3" width="7" style="84" customWidth="1"/>
    <col min="4" max="4" width="6.77734375" style="85" hidden="1" customWidth="1"/>
    <col min="5" max="5" width="6.77734375" style="84" hidden="1" customWidth="1"/>
    <col min="6" max="6" width="6" style="84" hidden="1" customWidth="1"/>
    <col min="7" max="10" width="6.6640625" style="84" customWidth="1"/>
    <col min="11" max="11" width="5.44140625" style="84" hidden="1" customWidth="1"/>
    <col min="12" max="12" width="5.44140625" style="106" hidden="1" customWidth="1"/>
    <col min="13" max="14" width="6" style="106" hidden="1" customWidth="1"/>
    <col min="15" max="15" width="6.77734375" style="106" hidden="1" customWidth="1"/>
    <col min="16" max="16" width="6.33203125" style="84" hidden="1" customWidth="1"/>
    <col min="17" max="18" width="6.109375" style="84" hidden="1" customWidth="1"/>
    <col min="19" max="22" width="6.6640625" style="84" customWidth="1"/>
    <col min="23" max="24" width="6" style="84" hidden="1" customWidth="1"/>
    <col min="25" max="25" width="5.88671875" style="84" hidden="1" customWidth="1"/>
    <col min="26" max="26" width="6.77734375" style="84" hidden="1" customWidth="1"/>
    <col min="27" max="27" width="4.88671875" style="84" customWidth="1"/>
    <col min="28" max="28" width="6.88671875" style="84" bestFit="1" customWidth="1"/>
    <col min="29" max="29" width="10.6640625" style="84" bestFit="1" customWidth="1"/>
    <col min="30" max="30" width="6.44140625" style="90" customWidth="1"/>
    <col min="31" max="31" width="9" style="84" bestFit="1" customWidth="1"/>
    <col min="32" max="32" width="8.109375" style="118" customWidth="1"/>
    <col min="33" max="33" width="10.44140625" style="85" bestFit="1" customWidth="1"/>
    <col min="34" max="34" width="9.21875" style="85" customWidth="1"/>
    <col min="35" max="36" width="9" style="85"/>
    <col min="37" max="37" width="29.33203125" style="85" customWidth="1"/>
    <col min="38" max="38" width="23.21875" style="85" customWidth="1"/>
    <col min="39" max="16384" width="9" style="85"/>
  </cols>
  <sheetData>
    <row r="1" spans="1:32" s="105" customFormat="1" ht="18" customHeight="1">
      <c r="A1" s="1398" t="s">
        <v>334</v>
      </c>
      <c r="B1" s="1398"/>
      <c r="C1" s="1398"/>
      <c r="D1" s="1398"/>
      <c r="E1" s="1398"/>
      <c r="F1" s="1398"/>
      <c r="G1" s="1398"/>
      <c r="H1" s="1398"/>
      <c r="I1" s="1398"/>
      <c r="J1" s="1398"/>
      <c r="K1" s="1398"/>
      <c r="L1" s="1398"/>
      <c r="M1" s="1398"/>
      <c r="N1" s="1398"/>
      <c r="O1" s="1398"/>
      <c r="P1" s="1398"/>
      <c r="Q1" s="1398"/>
      <c r="R1" s="1398"/>
      <c r="S1" s="1398"/>
      <c r="T1" s="1398"/>
      <c r="U1" s="1398"/>
      <c r="V1" s="1398"/>
      <c r="W1" s="1398"/>
      <c r="X1" s="1398"/>
      <c r="Y1" s="1398"/>
      <c r="Z1" s="1398"/>
      <c r="AA1" s="1398"/>
      <c r="AB1" s="1398"/>
      <c r="AC1" s="1398"/>
      <c r="AD1" s="1398"/>
      <c r="AE1" s="1398"/>
      <c r="AF1" s="1398"/>
    </row>
    <row r="2" spans="1:32" s="105" customFormat="1" ht="33.75" customHeight="1">
      <c r="A2" s="1399" t="s">
        <v>707</v>
      </c>
      <c r="B2" s="1399"/>
      <c r="C2" s="1399"/>
      <c r="D2" s="1399"/>
      <c r="E2" s="1399"/>
      <c r="F2" s="1399"/>
      <c r="G2" s="1399"/>
      <c r="H2" s="1399"/>
      <c r="I2" s="1399"/>
      <c r="J2" s="1399"/>
      <c r="K2" s="1399"/>
      <c r="L2" s="1399"/>
      <c r="M2" s="1399"/>
      <c r="N2" s="1399"/>
      <c r="O2" s="1399"/>
      <c r="P2" s="1399"/>
      <c r="Q2" s="1399"/>
      <c r="R2" s="1399"/>
      <c r="S2" s="1399"/>
      <c r="T2" s="1399"/>
      <c r="U2" s="1399"/>
      <c r="V2" s="1399"/>
      <c r="W2" s="1399"/>
      <c r="X2" s="1399"/>
      <c r="Y2" s="1399"/>
      <c r="Z2" s="1399"/>
      <c r="AA2" s="1399"/>
      <c r="AB2" s="1399"/>
      <c r="AC2" s="1399"/>
      <c r="AD2" s="1399"/>
      <c r="AE2" s="1399"/>
      <c r="AF2" s="1399"/>
    </row>
    <row r="3" spans="1:32" ht="13.5" thickBot="1">
      <c r="B3" s="84"/>
      <c r="D3" s="84"/>
      <c r="AF3" s="107"/>
    </row>
    <row r="4" spans="1:32" s="84" customFormat="1" ht="25.5">
      <c r="A4" s="915"/>
      <c r="B4" s="916" t="s">
        <v>73</v>
      </c>
      <c r="C4" s="916" t="s">
        <v>202</v>
      </c>
      <c r="D4" s="916" t="s">
        <v>101</v>
      </c>
      <c r="E4" s="916" t="s">
        <v>74</v>
      </c>
      <c r="F4" s="916" t="s">
        <v>102</v>
      </c>
      <c r="G4" s="916" t="s">
        <v>103</v>
      </c>
      <c r="H4" s="916" t="s">
        <v>104</v>
      </c>
      <c r="I4" s="916" t="s">
        <v>75</v>
      </c>
      <c r="J4" s="916" t="s">
        <v>76</v>
      </c>
      <c r="K4" s="916" t="s">
        <v>77</v>
      </c>
      <c r="L4" s="916" t="s">
        <v>78</v>
      </c>
      <c r="M4" s="916" t="s">
        <v>79</v>
      </c>
      <c r="N4" s="916" t="s">
        <v>80</v>
      </c>
      <c r="O4" s="916" t="s">
        <v>81</v>
      </c>
      <c r="P4" s="916" t="s">
        <v>82</v>
      </c>
      <c r="Q4" s="916" t="s">
        <v>83</v>
      </c>
      <c r="R4" s="916" t="s">
        <v>84</v>
      </c>
      <c r="S4" s="916" t="s">
        <v>105</v>
      </c>
      <c r="T4" s="916" t="s">
        <v>85</v>
      </c>
      <c r="U4" s="916" t="s">
        <v>86</v>
      </c>
      <c r="V4" s="916" t="s">
        <v>87</v>
      </c>
      <c r="W4" s="916" t="s">
        <v>88</v>
      </c>
      <c r="X4" s="916" t="s">
        <v>89</v>
      </c>
      <c r="Y4" s="916" t="s">
        <v>90</v>
      </c>
      <c r="Z4" s="916" t="s">
        <v>91</v>
      </c>
      <c r="AA4" s="917" t="s">
        <v>337</v>
      </c>
      <c r="AB4" s="917" t="s">
        <v>39</v>
      </c>
      <c r="AC4" s="917" t="s">
        <v>17</v>
      </c>
      <c r="AD4" s="918" t="s">
        <v>25</v>
      </c>
      <c r="AE4" s="917" t="s">
        <v>550</v>
      </c>
      <c r="AF4" s="919" t="s">
        <v>336</v>
      </c>
    </row>
    <row r="5" spans="1:32" s="108" customFormat="1">
      <c r="A5" s="920"/>
      <c r="B5" s="921" t="s">
        <v>92</v>
      </c>
      <c r="C5" s="922"/>
      <c r="D5" s="922">
        <f>L_CBac!$J33</f>
        <v>333715.5</v>
      </c>
      <c r="E5" s="922">
        <f>L_CBac!$J34</f>
        <v>387067.5</v>
      </c>
      <c r="F5" s="922">
        <f>L_CBac!$J35</f>
        <v>437085</v>
      </c>
      <c r="G5" s="922">
        <f>L_CBac!$J19</f>
        <v>206739</v>
      </c>
      <c r="H5" s="922">
        <f>L_CBac!$J20</f>
        <v>228969</v>
      </c>
      <c r="I5" s="922">
        <f>L_CBac!$J21</f>
        <v>251199.00000000003</v>
      </c>
      <c r="J5" s="922">
        <f>L_CBac!$J22</f>
        <v>273429.00000000006</v>
      </c>
      <c r="K5" s="922">
        <f>L_CBac!$J23</f>
        <v>295659.00000000006</v>
      </c>
      <c r="L5" s="922">
        <f>L_CBac!$J24</f>
        <v>317889.00000000006</v>
      </c>
      <c r="M5" s="922">
        <f>L_CBac!$J25</f>
        <v>340119.00000000006</v>
      </c>
      <c r="N5" s="922">
        <f>L_CBac!$J26</f>
        <v>362349.00000000012</v>
      </c>
      <c r="O5" s="922">
        <f>L_CBac!$J27</f>
        <v>384579.00000000012</v>
      </c>
      <c r="P5" s="922">
        <f>L_CBac!$J28</f>
        <v>406809.00000000012</v>
      </c>
      <c r="Q5" s="922">
        <f>L_CBac!$J29</f>
        <v>429039.00000000012</v>
      </c>
      <c r="R5" s="922">
        <f>L_CBac!$J30</f>
        <v>451269.00000000012</v>
      </c>
      <c r="S5" s="922">
        <f>L_CBac!$J9</f>
        <v>260091</v>
      </c>
      <c r="T5" s="922">
        <f>L_CBac!$J10</f>
        <v>296770.5</v>
      </c>
      <c r="U5" s="922">
        <f>L_CBac!$J11</f>
        <v>333450</v>
      </c>
      <c r="V5" s="922">
        <f>L_CBac!$J12</f>
        <v>370129.5</v>
      </c>
      <c r="W5" s="922">
        <f>L_CBac!$J13</f>
        <v>406809</v>
      </c>
      <c r="X5" s="922">
        <f>L_CBac!$J14</f>
        <v>443488.5</v>
      </c>
      <c r="Y5" s="922">
        <f>L_CBac!$J15</f>
        <v>480168</v>
      </c>
      <c r="Z5" s="922">
        <f>L_CBac!$J16</f>
        <v>516847.5</v>
      </c>
      <c r="AA5" s="921"/>
      <c r="AB5" s="921"/>
      <c r="AC5" s="921"/>
      <c r="AD5" s="923"/>
      <c r="AE5" s="921"/>
      <c r="AF5" s="924"/>
    </row>
    <row r="6" spans="1:32" s="108" customFormat="1">
      <c r="A6" s="920"/>
      <c r="B6" s="921" t="s">
        <v>93</v>
      </c>
      <c r="C6" s="922">
        <f>L_CBac!J70</f>
        <v>181923.07692307694</v>
      </c>
      <c r="D6" s="922"/>
      <c r="E6" s="922"/>
      <c r="F6" s="922"/>
      <c r="G6" s="922">
        <f>L_CBac!$J48</f>
        <v>206739</v>
      </c>
      <c r="H6" s="922">
        <f>L_CBac!$J49</f>
        <v>228969</v>
      </c>
      <c r="I6" s="922">
        <f>L_CBac!$J50</f>
        <v>251199.00000000003</v>
      </c>
      <c r="J6" s="922">
        <f>L_CBac!$J51</f>
        <v>273429.00000000006</v>
      </c>
      <c r="K6" s="922">
        <f>L_CBac!$J52</f>
        <v>295659.00000000006</v>
      </c>
      <c r="L6" s="922">
        <f>L_CBac!$J53</f>
        <v>317889.00000000006</v>
      </c>
      <c r="M6" s="922">
        <f>L_CBac!$J54</f>
        <v>340119.00000000006</v>
      </c>
      <c r="N6" s="922">
        <f>L_CBac!$J55</f>
        <v>362349.00000000012</v>
      </c>
      <c r="O6" s="922">
        <f>L_CBac!$J56</f>
        <v>384579.00000000012</v>
      </c>
      <c r="P6" s="922">
        <f>L_CBac!$J57</f>
        <v>406809.00000000012</v>
      </c>
      <c r="Q6" s="922">
        <f>L_CBac!$J58</f>
        <v>429039.00000000012</v>
      </c>
      <c r="R6" s="922">
        <f>L_CBac!$J59</f>
        <v>451269.00000000012</v>
      </c>
      <c r="S6" s="922">
        <f>L_CBac!$J38</f>
        <v>260091</v>
      </c>
      <c r="T6" s="922">
        <f>L_CBac!$J39</f>
        <v>296770.5</v>
      </c>
      <c r="U6" s="922">
        <f>L_CBac!$J40</f>
        <v>333450</v>
      </c>
      <c r="V6" s="922">
        <f>L_CBac!$J41</f>
        <v>370129.5</v>
      </c>
      <c r="W6" s="922">
        <f>L_CBac!$J42</f>
        <v>406809</v>
      </c>
      <c r="X6" s="922">
        <f>L_CBac!$J43</f>
        <v>443488.5</v>
      </c>
      <c r="Y6" s="922">
        <f>L_CBac!$J44</f>
        <v>480168</v>
      </c>
      <c r="Z6" s="922">
        <f>L_CBac!$J45</f>
        <v>516847.5</v>
      </c>
      <c r="AA6" s="921"/>
      <c r="AB6" s="921"/>
      <c r="AC6" s="921"/>
      <c r="AD6" s="923"/>
      <c r="AE6" s="921"/>
      <c r="AF6" s="924"/>
    </row>
    <row r="7" spans="1:32">
      <c r="A7" s="925">
        <v>1</v>
      </c>
      <c r="B7" s="926" t="s">
        <v>94</v>
      </c>
      <c r="C7" s="927"/>
      <c r="D7" s="926"/>
      <c r="E7" s="927"/>
      <c r="F7" s="927"/>
      <c r="G7" s="927"/>
      <c r="H7" s="927"/>
      <c r="I7" s="928"/>
      <c r="J7" s="927"/>
      <c r="K7" s="928"/>
      <c r="L7" s="927"/>
      <c r="M7" s="928"/>
      <c r="N7" s="928"/>
      <c r="O7" s="928"/>
      <c r="P7" s="928"/>
      <c r="Q7" s="928"/>
      <c r="R7" s="928"/>
      <c r="S7" s="928"/>
      <c r="T7" s="927"/>
      <c r="U7" s="927"/>
      <c r="V7" s="928"/>
      <c r="W7" s="928"/>
      <c r="X7" s="928"/>
      <c r="Y7" s="928"/>
      <c r="Z7" s="928">
        <v>1</v>
      </c>
      <c r="AA7" s="928">
        <f>SUM(C7:Z7)</f>
        <v>1</v>
      </c>
      <c r="AB7" s="928"/>
      <c r="AC7" s="928"/>
      <c r="AD7" s="929"/>
      <c r="AE7" s="928"/>
      <c r="AF7" s="930">
        <f>(C7*C$5+D7*D$5+E7*E$5+F7*F$5+G7*G$5+H7*H$5+I7*I$5+J7*J$5+K7*K$5+L7*L$5+M7*M$5+N7*N$5+O7*O$5+P7*P$5+Q7*Q$5+R7*R$5+S7*S$5+T7*T$5+U7*U$5+V7*V$5+W7*W$5+X7*X$5+Y7*Y$5+Z7*Z$5)</f>
        <v>516847.5</v>
      </c>
    </row>
    <row r="8" spans="1:32">
      <c r="A8" s="925">
        <v>2</v>
      </c>
      <c r="B8" s="926" t="s">
        <v>95</v>
      </c>
      <c r="C8" s="927"/>
      <c r="D8" s="926"/>
      <c r="E8" s="927"/>
      <c r="F8" s="927"/>
      <c r="G8" s="927"/>
      <c r="H8" s="927"/>
      <c r="I8" s="928"/>
      <c r="J8" s="927"/>
      <c r="K8" s="928"/>
      <c r="L8" s="927"/>
      <c r="M8" s="928"/>
      <c r="N8" s="928"/>
      <c r="O8" s="928"/>
      <c r="P8" s="928"/>
      <c r="Q8" s="928"/>
      <c r="R8" s="928"/>
      <c r="S8" s="928"/>
      <c r="T8" s="927"/>
      <c r="U8" s="927"/>
      <c r="V8" s="928"/>
      <c r="W8" s="928"/>
      <c r="X8" s="928"/>
      <c r="Y8" s="928"/>
      <c r="Z8" s="928">
        <v>1</v>
      </c>
      <c r="AA8" s="928">
        <f>SUM(C8:Z8)</f>
        <v>1</v>
      </c>
      <c r="AB8" s="928"/>
      <c r="AC8" s="928"/>
      <c r="AD8" s="929"/>
      <c r="AE8" s="928"/>
      <c r="AF8" s="930">
        <f>(C8*C$6+D8*D$6+E8*E$6+F8*F$6+G8*G$6+H8*H$6+I8*I$6+J8*J$6+K8*K$6+L8*L$6+M8*M$6+N8*N$6+O8*O$6+P8*P$6+Q8*Q$6+R8*R$6+S8*S$6+T8*T$6+U8*U$6+V8*V$6+W8*W$6+X8*X$6+Y8*Y$6+Z8*Z$6)</f>
        <v>516847.5</v>
      </c>
    </row>
    <row r="9" spans="1:32">
      <c r="A9" s="931"/>
      <c r="B9" s="932"/>
      <c r="C9" s="933"/>
      <c r="D9" s="932"/>
      <c r="E9" s="933"/>
      <c r="F9" s="933"/>
      <c r="G9" s="933"/>
      <c r="H9" s="933"/>
      <c r="I9" s="934"/>
      <c r="J9" s="933"/>
      <c r="K9" s="934"/>
      <c r="L9" s="933"/>
      <c r="M9" s="934"/>
      <c r="N9" s="934"/>
      <c r="O9" s="934"/>
      <c r="P9" s="934"/>
      <c r="Q9" s="934"/>
      <c r="R9" s="934"/>
      <c r="S9" s="934"/>
      <c r="T9" s="933"/>
      <c r="U9" s="933"/>
      <c r="V9" s="934"/>
      <c r="W9" s="934"/>
      <c r="X9" s="934"/>
      <c r="Y9" s="934"/>
      <c r="Z9" s="934"/>
      <c r="AA9" s="934"/>
      <c r="AB9" s="934"/>
      <c r="AC9" s="934"/>
      <c r="AD9" s="935"/>
      <c r="AE9" s="934"/>
      <c r="AF9" s="936"/>
    </row>
    <row r="10" spans="1:32" ht="33.75" customHeight="1">
      <c r="A10" s="873" t="s">
        <v>26</v>
      </c>
      <c r="B10" s="1400" t="s">
        <v>960</v>
      </c>
      <c r="C10" s="1400"/>
      <c r="D10" s="1400"/>
      <c r="E10" s="1400"/>
      <c r="F10" s="1400"/>
      <c r="G10" s="1400"/>
      <c r="H10" s="1400"/>
      <c r="I10" s="1400"/>
      <c r="J10" s="1400"/>
      <c r="K10" s="1400"/>
      <c r="L10" s="1400"/>
      <c r="M10" s="1400"/>
      <c r="N10" s="1400"/>
      <c r="O10" s="1400"/>
      <c r="P10" s="1400"/>
      <c r="Q10" s="1400"/>
      <c r="R10" s="1400"/>
      <c r="S10" s="1400"/>
      <c r="T10" s="1400"/>
      <c r="U10" s="1400"/>
      <c r="V10" s="1400"/>
      <c r="W10" s="1400"/>
      <c r="X10" s="1400"/>
      <c r="Y10" s="1400"/>
      <c r="Z10" s="1400"/>
      <c r="AA10" s="1400"/>
      <c r="AB10" s="1400"/>
      <c r="AC10" s="1400"/>
      <c r="AD10" s="1400"/>
      <c r="AE10" s="1400"/>
      <c r="AF10" s="937" t="s">
        <v>338</v>
      </c>
    </row>
    <row r="11" spans="1:32" ht="18" customHeight="1">
      <c r="A11" s="938" t="s">
        <v>124</v>
      </c>
      <c r="B11" s="1401" t="s">
        <v>961</v>
      </c>
      <c r="C11" s="1401"/>
      <c r="D11" s="1401"/>
      <c r="E11" s="1401"/>
      <c r="F11" s="1401"/>
      <c r="G11" s="1401"/>
      <c r="H11" s="1401"/>
      <c r="I11" s="1401"/>
      <c r="J11" s="1401"/>
      <c r="K11" s="1401"/>
      <c r="L11" s="1401"/>
      <c r="M11" s="1401"/>
      <c r="N11" s="1401"/>
      <c r="O11" s="1401"/>
      <c r="P11" s="1401"/>
      <c r="Q11" s="1401"/>
      <c r="R11" s="1401"/>
      <c r="S11" s="1401"/>
      <c r="T11" s="1401"/>
      <c r="U11" s="1401"/>
      <c r="V11" s="1401"/>
      <c r="W11" s="1401"/>
      <c r="X11" s="1401"/>
      <c r="Y11" s="1401"/>
      <c r="Z11" s="1401"/>
      <c r="AA11" s="1401"/>
      <c r="AB11" s="1401"/>
      <c r="AC11" s="1401"/>
      <c r="AD11" s="1401"/>
      <c r="AE11" s="1401"/>
      <c r="AF11" s="939"/>
    </row>
    <row r="12" spans="1:32" s="287" customFormat="1" ht="22.5" customHeight="1">
      <c r="A12" s="1036" t="s">
        <v>33</v>
      </c>
      <c r="B12" s="986" t="s">
        <v>148</v>
      </c>
      <c r="C12" s="987"/>
      <c r="D12" s="986"/>
      <c r="E12" s="987"/>
      <c r="F12" s="987"/>
      <c r="G12" s="987"/>
      <c r="H12" s="987"/>
      <c r="I12" s="1299"/>
      <c r="J12" s="987"/>
      <c r="K12" s="1299"/>
      <c r="L12" s="987"/>
      <c r="M12" s="1299"/>
      <c r="N12" s="1299"/>
      <c r="O12" s="1299"/>
      <c r="P12" s="1299"/>
      <c r="Q12" s="1299"/>
      <c r="R12" s="1299"/>
      <c r="S12" s="1299"/>
      <c r="T12" s="987"/>
      <c r="U12" s="987"/>
      <c r="V12" s="1299"/>
      <c r="W12" s="1299"/>
      <c r="X12" s="1299"/>
      <c r="Y12" s="1299"/>
      <c r="Z12" s="1299"/>
      <c r="AA12" s="1299"/>
      <c r="AB12" s="987"/>
      <c r="AC12" s="987"/>
      <c r="AD12" s="1036"/>
      <c r="AE12" s="987"/>
      <c r="AF12" s="1300"/>
    </row>
    <row r="13" spans="1:32" s="638" customFormat="1" ht="15">
      <c r="A13" s="1036" t="s">
        <v>134</v>
      </c>
      <c r="B13" s="986" t="s">
        <v>745</v>
      </c>
      <c r="C13" s="987"/>
      <c r="D13" s="986"/>
      <c r="E13" s="1299"/>
      <c r="F13" s="1299"/>
      <c r="G13" s="1299"/>
      <c r="H13" s="1299"/>
      <c r="I13" s="1299"/>
      <c r="J13" s="1301">
        <v>1</v>
      </c>
      <c r="K13" s="1299"/>
      <c r="L13" s="1299"/>
      <c r="M13" s="1299"/>
      <c r="N13" s="1299"/>
      <c r="O13" s="1299"/>
      <c r="P13" s="1299"/>
      <c r="Q13" s="1299"/>
      <c r="R13" s="1299"/>
      <c r="S13" s="1299"/>
      <c r="T13" s="1299">
        <v>1</v>
      </c>
      <c r="U13" s="1299"/>
      <c r="V13" s="1299"/>
      <c r="W13" s="1299"/>
      <c r="X13" s="1299"/>
      <c r="Y13" s="1299"/>
      <c r="Z13" s="1299"/>
      <c r="AA13" s="1299">
        <f t="shared" ref="AA13:AA76" si="0">SUM(C13:Z13)</f>
        <v>2</v>
      </c>
      <c r="AB13" s="987" t="s">
        <v>141</v>
      </c>
      <c r="AC13" s="987" t="s">
        <v>545</v>
      </c>
      <c r="AD13" s="1036" t="s">
        <v>32</v>
      </c>
      <c r="AE13" s="1302">
        <v>2</v>
      </c>
      <c r="AF13" s="1300">
        <f>(C13*C$6+D13*D$6+E13*E$6+F13*F$6+G13*G$6+H13*H$6+I13*I$6+J13*J$6+K13*K$6+L13*L$6+M13*M$6+N13*N$6+O13*O$6+P13*P$6+Q13*Q$6+R13*R$6+S13*S$6+T13*T$6+U13*U$6+V13*V$6+W13*W$6+X13*X$6+Y13*Y$6+Z13*Z$6)</f>
        <v>570199.5</v>
      </c>
    </row>
    <row r="14" spans="1:32" s="638" customFormat="1" ht="17.25" customHeight="1">
      <c r="A14" s="1036"/>
      <c r="B14" s="986"/>
      <c r="C14" s="987">
        <v>1</v>
      </c>
      <c r="D14" s="986"/>
      <c r="E14" s="1299"/>
      <c r="F14" s="1299"/>
      <c r="G14" s="1299"/>
      <c r="H14" s="1299"/>
      <c r="I14" s="1299"/>
      <c r="J14" s="1301"/>
      <c r="K14" s="1299"/>
      <c r="L14" s="1299"/>
      <c r="M14" s="1299"/>
      <c r="N14" s="1299"/>
      <c r="O14" s="1299"/>
      <c r="P14" s="1299"/>
      <c r="Q14" s="1299"/>
      <c r="R14" s="1299"/>
      <c r="S14" s="1299"/>
      <c r="T14" s="1299"/>
      <c r="U14" s="1299"/>
      <c r="V14" s="1299"/>
      <c r="W14" s="1299"/>
      <c r="X14" s="1299"/>
      <c r="Y14" s="1299"/>
      <c r="Z14" s="1299"/>
      <c r="AA14" s="1299">
        <f t="shared" si="0"/>
        <v>1</v>
      </c>
      <c r="AB14" s="987"/>
      <c r="AC14" s="987" t="s">
        <v>202</v>
      </c>
      <c r="AD14" s="1036"/>
      <c r="AE14" s="1302">
        <v>2</v>
      </c>
      <c r="AF14" s="1300">
        <f>(C14*C$6+D14*D$6+E14*E$6+F14*F$6+G14*G$6+H14*H$6+I14*I$6+J14*J$6+K14*K$6+L14*L$6+M14*M$6+N14*N$6+O14*O$6+P14*P$6+Q14*Q$6+R14*R$6+S14*S$6+T14*T$6+U14*U$6+V14*V$6+W14*W$6+X14*X$6+Y14*Y$6+Z14*Z$6)</f>
        <v>181923.07692307694</v>
      </c>
    </row>
    <row r="15" spans="1:32" s="638" customFormat="1" ht="38.25">
      <c r="A15" s="1036" t="s">
        <v>135</v>
      </c>
      <c r="B15" s="986" t="s">
        <v>962</v>
      </c>
      <c r="C15" s="987"/>
      <c r="D15" s="986"/>
      <c r="E15" s="1299"/>
      <c r="F15" s="1299"/>
      <c r="G15" s="1299"/>
      <c r="H15" s="1299"/>
      <c r="I15" s="1299"/>
      <c r="J15" s="1301">
        <v>1</v>
      </c>
      <c r="K15" s="1299"/>
      <c r="L15" s="1299"/>
      <c r="M15" s="1299"/>
      <c r="N15" s="1299"/>
      <c r="O15" s="1299"/>
      <c r="P15" s="1299"/>
      <c r="Q15" s="1299"/>
      <c r="R15" s="1299"/>
      <c r="S15" s="1299"/>
      <c r="T15" s="1299">
        <v>1</v>
      </c>
      <c r="U15" s="1299">
        <v>1</v>
      </c>
      <c r="V15" s="1299"/>
      <c r="W15" s="1299"/>
      <c r="X15" s="1299"/>
      <c r="Y15" s="1299"/>
      <c r="Z15" s="1299"/>
      <c r="AA15" s="1299">
        <f t="shared" si="0"/>
        <v>3</v>
      </c>
      <c r="AB15" s="987" t="s">
        <v>142</v>
      </c>
      <c r="AC15" s="987" t="s">
        <v>546</v>
      </c>
      <c r="AD15" s="1036" t="s">
        <v>32</v>
      </c>
      <c r="AE15" s="1302">
        <v>16</v>
      </c>
      <c r="AF15" s="1300">
        <f t="shared" ref="AF15:AF54" si="1">(C15*C$6+D15*D$6+E15*E$6+F15*F$6+G15*G$6+H15*H$6+I15*I$6+J15*J$6+K15*K$6+L15*L$6+M15*M$6+N15*N$6+O15*O$6+P15*P$6+Q15*Q$6+R15*R$6+S15*S$6+T15*T$6+U15*U$6+V15*V$6+W15*W$6+X15*X$6+Y15*Y$6+Z15*Z$6)</f>
        <v>903649.5</v>
      </c>
    </row>
    <row r="16" spans="1:32" s="638" customFormat="1" ht="25.5">
      <c r="A16" s="1036" t="s">
        <v>149</v>
      </c>
      <c r="B16" s="986" t="s">
        <v>746</v>
      </c>
      <c r="C16" s="987"/>
      <c r="D16" s="986"/>
      <c r="E16" s="1299"/>
      <c r="F16" s="1299"/>
      <c r="G16" s="1299"/>
      <c r="H16" s="1299"/>
      <c r="I16" s="1299"/>
      <c r="J16" s="1301"/>
      <c r="K16" s="1299"/>
      <c r="L16" s="1299"/>
      <c r="M16" s="1299"/>
      <c r="N16" s="1299"/>
      <c r="O16" s="1299"/>
      <c r="P16" s="1299"/>
      <c r="Q16" s="1299"/>
      <c r="R16" s="1299"/>
      <c r="S16" s="1299"/>
      <c r="T16" s="1299"/>
      <c r="U16" s="1299">
        <v>1</v>
      </c>
      <c r="V16" s="1299"/>
      <c r="W16" s="1299"/>
      <c r="X16" s="1299"/>
      <c r="Y16" s="1299"/>
      <c r="Z16" s="1299"/>
      <c r="AA16" s="1299">
        <f t="shared" si="0"/>
        <v>1</v>
      </c>
      <c r="AB16" s="987" t="s">
        <v>143</v>
      </c>
      <c r="AC16" s="987" t="s">
        <v>106</v>
      </c>
      <c r="AD16" s="1036" t="s">
        <v>32</v>
      </c>
      <c r="AE16" s="987">
        <v>2.5</v>
      </c>
      <c r="AF16" s="1300">
        <f>(C16*C$6+D16*D$6+E16*E$6+F16*F$6+G16*G$6+H16*H$6+I16*I$6+J16*J$6+K16*K$6+L16*L$6+M16*M$6+N16*N$6+O16*O$6+P16*P$6+Q16*Q$6+R16*R$6+S16*S$6+T16*T$6+U16*U$6+V16*V$6+W16*W$6+X16*X$6+Y16*Y$6+Z16*Z$6)</f>
        <v>333450</v>
      </c>
    </row>
    <row r="17" spans="1:32" s="638" customFormat="1" ht="15">
      <c r="A17" s="1036"/>
      <c r="B17" s="986"/>
      <c r="C17" s="987">
        <v>1</v>
      </c>
      <c r="D17" s="986"/>
      <c r="E17" s="1299"/>
      <c r="F17" s="1299"/>
      <c r="G17" s="1299"/>
      <c r="H17" s="1299"/>
      <c r="I17" s="1299"/>
      <c r="J17" s="1301"/>
      <c r="K17" s="1299"/>
      <c r="L17" s="1299"/>
      <c r="M17" s="1299"/>
      <c r="N17" s="1299"/>
      <c r="O17" s="1299"/>
      <c r="P17" s="1299"/>
      <c r="Q17" s="1299"/>
      <c r="R17" s="1299"/>
      <c r="S17" s="1299"/>
      <c r="T17" s="1299"/>
      <c r="U17" s="1299"/>
      <c r="V17" s="1299"/>
      <c r="W17" s="1299"/>
      <c r="X17" s="1299"/>
      <c r="Y17" s="1299"/>
      <c r="Z17" s="1299"/>
      <c r="AA17" s="1299">
        <f t="shared" si="0"/>
        <v>1</v>
      </c>
      <c r="AB17" s="987"/>
      <c r="AC17" s="987" t="s">
        <v>202</v>
      </c>
      <c r="AD17" s="1036" t="s">
        <v>32</v>
      </c>
      <c r="AE17" s="987">
        <v>2.5</v>
      </c>
      <c r="AF17" s="1300">
        <f t="shared" si="1"/>
        <v>181923.07692307694</v>
      </c>
    </row>
    <row r="18" spans="1:32" s="638" customFormat="1" ht="15">
      <c r="A18" s="1036" t="s">
        <v>150</v>
      </c>
      <c r="B18" s="986" t="s">
        <v>151</v>
      </c>
      <c r="C18" s="987"/>
      <c r="D18" s="986"/>
      <c r="E18" s="1299"/>
      <c r="F18" s="1299"/>
      <c r="G18" s="1299"/>
      <c r="H18" s="1299"/>
      <c r="I18" s="1299"/>
      <c r="J18" s="1301"/>
      <c r="K18" s="1299"/>
      <c r="L18" s="1299"/>
      <c r="M18" s="1299"/>
      <c r="N18" s="1299"/>
      <c r="O18" s="1299"/>
      <c r="P18" s="1299"/>
      <c r="Q18" s="1299"/>
      <c r="R18" s="1299"/>
      <c r="S18" s="1299"/>
      <c r="T18" s="1299"/>
      <c r="U18" s="1299"/>
      <c r="V18" s="1299"/>
      <c r="W18" s="1299"/>
      <c r="X18" s="1299"/>
      <c r="Y18" s="1299"/>
      <c r="Z18" s="1299"/>
      <c r="AA18" s="1299">
        <f t="shared" si="0"/>
        <v>0</v>
      </c>
      <c r="AB18" s="987"/>
      <c r="AC18" s="987"/>
      <c r="AD18" s="1036"/>
      <c r="AE18" s="987"/>
      <c r="AF18" s="1300">
        <f t="shared" si="1"/>
        <v>0</v>
      </c>
    </row>
    <row r="19" spans="1:32" s="646" customFormat="1" ht="15">
      <c r="A19" s="1041" t="s">
        <v>152</v>
      </c>
      <c r="B19" s="1039" t="s">
        <v>153</v>
      </c>
      <c r="C19" s="987"/>
      <c r="D19" s="986"/>
      <c r="E19" s="1299"/>
      <c r="F19" s="1299"/>
      <c r="G19" s="1299"/>
      <c r="H19" s="1299"/>
      <c r="I19" s="1299"/>
      <c r="J19" s="1301"/>
      <c r="K19" s="1299"/>
      <c r="L19" s="1299"/>
      <c r="M19" s="1299"/>
      <c r="N19" s="1299"/>
      <c r="O19" s="1299"/>
      <c r="P19" s="1299"/>
      <c r="Q19" s="1299"/>
      <c r="R19" s="1299"/>
      <c r="S19" s="1299"/>
      <c r="T19" s="1299">
        <v>1</v>
      </c>
      <c r="U19" s="1299"/>
      <c r="V19" s="1299"/>
      <c r="W19" s="1299"/>
      <c r="X19" s="1299"/>
      <c r="Y19" s="1299"/>
      <c r="Z19" s="1299"/>
      <c r="AA19" s="1299">
        <f t="shared" si="0"/>
        <v>1</v>
      </c>
      <c r="AB19" s="987" t="s">
        <v>53</v>
      </c>
      <c r="AC19" s="987" t="s">
        <v>69</v>
      </c>
      <c r="AD19" s="1036" t="s">
        <v>32</v>
      </c>
      <c r="AE19" s="987">
        <v>0.15</v>
      </c>
      <c r="AF19" s="1300">
        <f t="shared" si="1"/>
        <v>296770.5</v>
      </c>
    </row>
    <row r="20" spans="1:32" s="646" customFormat="1" ht="15">
      <c r="A20" s="1041" t="s">
        <v>154</v>
      </c>
      <c r="B20" s="1039" t="s">
        <v>155</v>
      </c>
      <c r="C20" s="987"/>
      <c r="D20" s="986"/>
      <c r="E20" s="1299"/>
      <c r="F20" s="1299"/>
      <c r="G20" s="1299"/>
      <c r="H20" s="1299"/>
      <c r="I20" s="1299"/>
      <c r="J20" s="1301"/>
      <c r="K20" s="1299"/>
      <c r="L20" s="1299"/>
      <c r="M20" s="1299"/>
      <c r="N20" s="1299"/>
      <c r="O20" s="1299"/>
      <c r="P20" s="1299"/>
      <c r="Q20" s="1299"/>
      <c r="R20" s="1299"/>
      <c r="S20" s="1299"/>
      <c r="T20" s="1299">
        <v>1</v>
      </c>
      <c r="U20" s="1299"/>
      <c r="V20" s="1299"/>
      <c r="W20" s="1299"/>
      <c r="X20" s="1299"/>
      <c r="Y20" s="1299"/>
      <c r="Z20" s="1299"/>
      <c r="AA20" s="1299">
        <f t="shared" si="0"/>
        <v>1</v>
      </c>
      <c r="AB20" s="987" t="s">
        <v>53</v>
      </c>
      <c r="AC20" s="987" t="s">
        <v>69</v>
      </c>
      <c r="AD20" s="1036" t="s">
        <v>32</v>
      </c>
      <c r="AE20" s="987">
        <v>0.1</v>
      </c>
      <c r="AF20" s="1300">
        <f t="shared" si="1"/>
        <v>296770.5</v>
      </c>
    </row>
    <row r="21" spans="1:32" s="638" customFormat="1" ht="76.5">
      <c r="A21" s="1036" t="s">
        <v>34</v>
      </c>
      <c r="B21" s="986" t="s">
        <v>618</v>
      </c>
      <c r="C21" s="987"/>
      <c r="D21" s="986"/>
      <c r="E21" s="1299"/>
      <c r="F21" s="1299"/>
      <c r="G21" s="1299"/>
      <c r="H21" s="1299"/>
      <c r="I21" s="1299"/>
      <c r="J21" s="1301"/>
      <c r="K21" s="1299"/>
      <c r="L21" s="1299"/>
      <c r="M21" s="1299"/>
      <c r="N21" s="1299"/>
      <c r="O21" s="1299"/>
      <c r="P21" s="1299"/>
      <c r="Q21" s="1299"/>
      <c r="R21" s="1299"/>
      <c r="S21" s="1299"/>
      <c r="T21" s="1299">
        <v>1</v>
      </c>
      <c r="U21" s="1299"/>
      <c r="V21" s="1299"/>
      <c r="W21" s="1299"/>
      <c r="X21" s="1299"/>
      <c r="Y21" s="1299"/>
      <c r="Z21" s="1299"/>
      <c r="AA21" s="1299">
        <f t="shared" si="0"/>
        <v>1</v>
      </c>
      <c r="AB21" s="987" t="s">
        <v>53</v>
      </c>
      <c r="AC21" s="987" t="s">
        <v>69</v>
      </c>
      <c r="AD21" s="1036" t="s">
        <v>32</v>
      </c>
      <c r="AE21" s="987">
        <v>0.2</v>
      </c>
      <c r="AF21" s="1300">
        <f t="shared" si="1"/>
        <v>296770.5</v>
      </c>
    </row>
    <row r="22" spans="1:32" s="638" customFormat="1" ht="25.5">
      <c r="A22" s="1036" t="s">
        <v>35</v>
      </c>
      <c r="B22" s="986" t="s">
        <v>157</v>
      </c>
      <c r="C22" s="987"/>
      <c r="D22" s="986"/>
      <c r="E22" s="1299"/>
      <c r="F22" s="1299"/>
      <c r="G22" s="1299"/>
      <c r="H22" s="1299"/>
      <c r="I22" s="1299"/>
      <c r="J22" s="1301"/>
      <c r="K22" s="1299"/>
      <c r="L22" s="1299"/>
      <c r="M22" s="1299"/>
      <c r="N22" s="1299"/>
      <c r="O22" s="1299"/>
      <c r="P22" s="1299"/>
      <c r="Q22" s="1299"/>
      <c r="R22" s="1299"/>
      <c r="S22" s="1299"/>
      <c r="T22" s="1299"/>
      <c r="U22" s="1299">
        <v>1</v>
      </c>
      <c r="V22" s="1299"/>
      <c r="W22" s="1299"/>
      <c r="X22" s="1299"/>
      <c r="Y22" s="1299"/>
      <c r="Z22" s="1299"/>
      <c r="AA22" s="1299">
        <f t="shared" si="0"/>
        <v>1</v>
      </c>
      <c r="AB22" s="987" t="s">
        <v>1</v>
      </c>
      <c r="AC22" s="987" t="s">
        <v>106</v>
      </c>
      <c r="AD22" s="1036" t="s">
        <v>32</v>
      </c>
      <c r="AE22" s="987">
        <v>0.107</v>
      </c>
      <c r="AF22" s="1300">
        <f t="shared" si="1"/>
        <v>333450</v>
      </c>
    </row>
    <row r="23" spans="1:32" s="552" customFormat="1" ht="25.5">
      <c r="A23" s="940" t="s">
        <v>158</v>
      </c>
      <c r="B23" s="945" t="s">
        <v>189</v>
      </c>
      <c r="C23" s="874"/>
      <c r="D23" s="875"/>
      <c r="E23" s="941"/>
      <c r="F23" s="941"/>
      <c r="G23" s="941"/>
      <c r="H23" s="941"/>
      <c r="I23" s="941"/>
      <c r="J23" s="943"/>
      <c r="K23" s="941"/>
      <c r="L23" s="941"/>
      <c r="M23" s="941"/>
      <c r="N23" s="941"/>
      <c r="O23" s="941"/>
      <c r="P23" s="941"/>
      <c r="Q23" s="941"/>
      <c r="R23" s="941"/>
      <c r="S23" s="941"/>
      <c r="T23" s="941"/>
      <c r="U23" s="941"/>
      <c r="V23" s="941"/>
      <c r="W23" s="941"/>
      <c r="X23" s="941"/>
      <c r="Y23" s="941"/>
      <c r="Z23" s="941"/>
      <c r="AA23" s="941">
        <f t="shared" si="0"/>
        <v>0</v>
      </c>
      <c r="AB23" s="874"/>
      <c r="AC23" s="874"/>
      <c r="AD23" s="940"/>
      <c r="AE23" s="874"/>
      <c r="AF23" s="942"/>
    </row>
    <row r="24" spans="1:32" s="638" customFormat="1" ht="15">
      <c r="A24" s="987">
        <v>4.0999999999999996</v>
      </c>
      <c r="B24" s="1039" t="s">
        <v>190</v>
      </c>
      <c r="C24" s="987"/>
      <c r="D24" s="986"/>
      <c r="E24" s="987"/>
      <c r="F24" s="987"/>
      <c r="G24" s="987"/>
      <c r="H24" s="987"/>
      <c r="I24" s="987"/>
      <c r="J24" s="987"/>
      <c r="K24" s="987"/>
      <c r="L24" s="988"/>
      <c r="M24" s="988"/>
      <c r="N24" s="988"/>
      <c r="O24" s="988"/>
      <c r="P24" s="987"/>
      <c r="Q24" s="987"/>
      <c r="R24" s="987"/>
      <c r="S24" s="987">
        <v>1</v>
      </c>
      <c r="T24" s="987"/>
      <c r="U24" s="987"/>
      <c r="V24" s="987"/>
      <c r="W24" s="987"/>
      <c r="X24" s="987"/>
      <c r="Y24" s="987"/>
      <c r="Z24" s="987"/>
      <c r="AA24" s="1299">
        <f t="shared" si="0"/>
        <v>1</v>
      </c>
      <c r="AB24" s="987" t="s">
        <v>551</v>
      </c>
      <c r="AC24" s="987" t="s">
        <v>68</v>
      </c>
      <c r="AD24" s="1036" t="s">
        <v>32</v>
      </c>
      <c r="AE24" s="987">
        <v>1.6E-2</v>
      </c>
      <c r="AF24" s="989">
        <f t="shared" si="1"/>
        <v>260091</v>
      </c>
    </row>
    <row r="25" spans="1:32" s="638" customFormat="1" ht="15">
      <c r="A25" s="987">
        <v>4.2</v>
      </c>
      <c r="B25" s="1303" t="s">
        <v>191</v>
      </c>
      <c r="C25" s="987"/>
      <c r="D25" s="986"/>
      <c r="E25" s="987"/>
      <c r="F25" s="987"/>
      <c r="G25" s="987"/>
      <c r="H25" s="987"/>
      <c r="I25" s="987"/>
      <c r="J25" s="987"/>
      <c r="K25" s="987"/>
      <c r="L25" s="988"/>
      <c r="M25" s="988"/>
      <c r="N25" s="988"/>
      <c r="O25" s="988"/>
      <c r="P25" s="987"/>
      <c r="Q25" s="987"/>
      <c r="R25" s="987"/>
      <c r="S25" s="987">
        <v>1</v>
      </c>
      <c r="T25" s="987"/>
      <c r="U25" s="987"/>
      <c r="V25" s="987"/>
      <c r="W25" s="987"/>
      <c r="X25" s="987"/>
      <c r="Y25" s="987"/>
      <c r="Z25" s="987"/>
      <c r="AA25" s="1299">
        <f t="shared" si="0"/>
        <v>1</v>
      </c>
      <c r="AB25" s="987" t="s">
        <v>551</v>
      </c>
      <c r="AC25" s="987" t="s">
        <v>68</v>
      </c>
      <c r="AD25" s="1036" t="s">
        <v>32</v>
      </c>
      <c r="AE25" s="987">
        <v>8.0000000000000002E-3</v>
      </c>
      <c r="AF25" s="989">
        <f t="shared" si="1"/>
        <v>260091</v>
      </c>
    </row>
    <row r="26" spans="1:32" s="638" customFormat="1" ht="38.25">
      <c r="A26" s="987">
        <v>5</v>
      </c>
      <c r="B26" s="1039" t="s">
        <v>192</v>
      </c>
      <c r="C26" s="987"/>
      <c r="D26" s="986"/>
      <c r="E26" s="987"/>
      <c r="F26" s="987"/>
      <c r="G26" s="987"/>
      <c r="H26" s="987"/>
      <c r="I26" s="987"/>
      <c r="J26" s="987"/>
      <c r="K26" s="987"/>
      <c r="L26" s="988"/>
      <c r="M26" s="988"/>
      <c r="N26" s="988"/>
      <c r="O26" s="988"/>
      <c r="P26" s="987"/>
      <c r="Q26" s="987"/>
      <c r="R26" s="987"/>
      <c r="S26" s="987">
        <v>1</v>
      </c>
      <c r="T26" s="987"/>
      <c r="U26" s="987"/>
      <c r="V26" s="987"/>
      <c r="W26" s="987"/>
      <c r="X26" s="987"/>
      <c r="Y26" s="987"/>
      <c r="Z26" s="987"/>
      <c r="AA26" s="1299">
        <f t="shared" si="0"/>
        <v>1</v>
      </c>
      <c r="AB26" s="987" t="s">
        <v>551</v>
      </c>
      <c r="AC26" s="987" t="s">
        <v>68</v>
      </c>
      <c r="AD26" s="1036" t="s">
        <v>32</v>
      </c>
      <c r="AE26" s="987">
        <v>4.0000000000000001E-3</v>
      </c>
      <c r="AF26" s="989">
        <f t="shared" si="1"/>
        <v>260091</v>
      </c>
    </row>
    <row r="27" spans="1:32" s="287" customFormat="1" ht="38.25">
      <c r="A27" s="987">
        <v>6</v>
      </c>
      <c r="B27" s="1358" t="s">
        <v>958</v>
      </c>
      <c r="C27" s="987"/>
      <c r="D27" s="986"/>
      <c r="E27" s="987"/>
      <c r="F27" s="987"/>
      <c r="G27" s="987"/>
      <c r="H27" s="987"/>
      <c r="I27" s="987"/>
      <c r="J27" s="987"/>
      <c r="K27" s="987"/>
      <c r="L27" s="988"/>
      <c r="M27" s="988"/>
      <c r="N27" s="988"/>
      <c r="O27" s="988"/>
      <c r="P27" s="987"/>
      <c r="Q27" s="987"/>
      <c r="R27" s="987"/>
      <c r="S27" s="987"/>
      <c r="T27" s="987"/>
      <c r="U27" s="987"/>
      <c r="V27" s="987"/>
      <c r="W27" s="987"/>
      <c r="X27" s="987"/>
      <c r="Y27" s="987"/>
      <c r="Z27" s="987"/>
      <c r="AA27" s="1299">
        <f t="shared" si="0"/>
        <v>0</v>
      </c>
      <c r="AB27" s="987"/>
      <c r="AC27" s="987"/>
      <c r="AD27" s="1036"/>
      <c r="AE27" s="987"/>
      <c r="AF27" s="989"/>
    </row>
    <row r="28" spans="1:32" s="287" customFormat="1">
      <c r="A28" s="987" t="s">
        <v>170</v>
      </c>
      <c r="B28" s="986" t="s">
        <v>168</v>
      </c>
      <c r="C28" s="987"/>
      <c r="D28" s="986"/>
      <c r="E28" s="987"/>
      <c r="F28" s="987"/>
      <c r="G28" s="987"/>
      <c r="H28" s="987"/>
      <c r="I28" s="987"/>
      <c r="J28" s="987"/>
      <c r="K28" s="987"/>
      <c r="L28" s="988"/>
      <c r="M28" s="988"/>
      <c r="N28" s="988"/>
      <c r="O28" s="988"/>
      <c r="P28" s="987"/>
      <c r="Q28" s="987"/>
      <c r="R28" s="987"/>
      <c r="S28" s="987"/>
      <c r="T28" s="987">
        <v>1</v>
      </c>
      <c r="U28" s="987"/>
      <c r="V28" s="987"/>
      <c r="W28" s="987"/>
      <c r="X28" s="987"/>
      <c r="Y28" s="987"/>
      <c r="Z28" s="987"/>
      <c r="AA28" s="1299">
        <f t="shared" si="0"/>
        <v>1</v>
      </c>
      <c r="AB28" s="1305" t="s">
        <v>53</v>
      </c>
      <c r="AC28" s="987" t="s">
        <v>69</v>
      </c>
      <c r="AD28" s="1036" t="s">
        <v>32</v>
      </c>
      <c r="AE28" s="987">
        <v>0.04</v>
      </c>
      <c r="AF28" s="989">
        <f>(C28*C$6+D28*D$6+E28*E$6+F28*F$6+G28*G$6+H28*H$6+I28*I$6+J28*J$6+K28*K$6+L28*L$6+M28*M$6+N28*N$6+O28*O$6+P28*P$6+Q28*Q$6+R28*R$6+S28*S$6+T28*T$6+U28*U$6+V28*V$6+W28*W$6+X28*X$6+Y28*Y$6+Z28*Z$6)</f>
        <v>296770.5</v>
      </c>
    </row>
    <row r="29" spans="1:32" s="287" customFormat="1">
      <c r="A29" s="987" t="s">
        <v>172</v>
      </c>
      <c r="B29" s="1304" t="s">
        <v>169</v>
      </c>
      <c r="C29" s="987"/>
      <c r="D29" s="986"/>
      <c r="E29" s="987"/>
      <c r="F29" s="987"/>
      <c r="G29" s="987"/>
      <c r="H29" s="987"/>
      <c r="I29" s="987"/>
      <c r="J29" s="987"/>
      <c r="K29" s="987"/>
      <c r="L29" s="988"/>
      <c r="M29" s="988"/>
      <c r="N29" s="988"/>
      <c r="O29" s="988"/>
      <c r="P29" s="987"/>
      <c r="Q29" s="987"/>
      <c r="R29" s="987"/>
      <c r="S29" s="987"/>
      <c r="T29" s="987">
        <v>1</v>
      </c>
      <c r="U29" s="987"/>
      <c r="V29" s="987"/>
      <c r="W29" s="987"/>
      <c r="X29" s="987"/>
      <c r="Y29" s="987"/>
      <c r="Z29" s="987"/>
      <c r="AA29" s="1299">
        <f t="shared" si="0"/>
        <v>1</v>
      </c>
      <c r="AB29" s="1305" t="s">
        <v>53</v>
      </c>
      <c r="AC29" s="987" t="s">
        <v>69</v>
      </c>
      <c r="AD29" s="1036" t="s">
        <v>32</v>
      </c>
      <c r="AE29" s="987">
        <v>0.08</v>
      </c>
      <c r="AF29" s="989">
        <f>(C29*C$6+D29*D$6+E29*E$6+F29*F$6+G29*G$6+H29*H$6+I29*I$6+J29*J$6+K29*K$6+L29*L$6+M29*M$6+N29*N$6+O29*O$6+P29*P$6+Q29*Q$6+R29*R$6+S29*S$6+T29*T$6+U29*U$6+V29*V$6+W29*W$6+X29*X$6+Y29*Y$6+Z29*Z$6)</f>
        <v>296770.5</v>
      </c>
    </row>
    <row r="30" spans="1:32" s="287" customFormat="1" ht="12.75" customHeight="1">
      <c r="A30" s="1395" t="s">
        <v>161</v>
      </c>
      <c r="B30" s="1392" t="s">
        <v>639</v>
      </c>
      <c r="C30" s="987"/>
      <c r="D30" s="986"/>
      <c r="E30" s="1299"/>
      <c r="F30" s="1299"/>
      <c r="G30" s="1299"/>
      <c r="H30" s="1299"/>
      <c r="I30" s="1299"/>
      <c r="J30" s="1301">
        <v>1</v>
      </c>
      <c r="K30" s="1299"/>
      <c r="L30" s="1299"/>
      <c r="M30" s="1299"/>
      <c r="N30" s="1299"/>
      <c r="O30" s="1299"/>
      <c r="P30" s="1299"/>
      <c r="Q30" s="1299"/>
      <c r="R30" s="1299"/>
      <c r="S30" s="1299"/>
      <c r="T30" s="1299">
        <v>1</v>
      </c>
      <c r="U30" s="1299"/>
      <c r="V30" s="1299"/>
      <c r="W30" s="1299"/>
      <c r="X30" s="1299"/>
      <c r="Y30" s="1299"/>
      <c r="Z30" s="1299"/>
      <c r="AA30" s="1299">
        <f t="shared" si="0"/>
        <v>2</v>
      </c>
      <c r="AB30" s="1389" t="s">
        <v>53</v>
      </c>
      <c r="AC30" s="987" t="s">
        <v>545</v>
      </c>
      <c r="AD30" s="1402" t="s">
        <v>33</v>
      </c>
      <c r="AE30" s="990">
        <v>0.45</v>
      </c>
      <c r="AF30" s="1300">
        <f t="shared" si="1"/>
        <v>570199.5</v>
      </c>
    </row>
    <row r="31" spans="1:32" s="287" customFormat="1" ht="15" customHeight="1">
      <c r="A31" s="1396"/>
      <c r="B31" s="1393"/>
      <c r="C31" s="987">
        <v>1</v>
      </c>
      <c r="D31" s="986"/>
      <c r="E31" s="1299"/>
      <c r="F31" s="1299"/>
      <c r="G31" s="1299"/>
      <c r="H31" s="1299"/>
      <c r="I31" s="1299"/>
      <c r="J31" s="1301"/>
      <c r="K31" s="1299"/>
      <c r="L31" s="1299"/>
      <c r="M31" s="1299"/>
      <c r="N31" s="1299"/>
      <c r="O31" s="1299"/>
      <c r="P31" s="1299"/>
      <c r="Q31" s="1299"/>
      <c r="R31" s="1299"/>
      <c r="S31" s="1299"/>
      <c r="T31" s="1299"/>
      <c r="U31" s="1299"/>
      <c r="V31" s="1299"/>
      <c r="W31" s="1299"/>
      <c r="X31" s="1299"/>
      <c r="Y31" s="1299"/>
      <c r="Z31" s="1299"/>
      <c r="AA31" s="1299">
        <f t="shared" si="0"/>
        <v>1</v>
      </c>
      <c r="AB31" s="1389"/>
      <c r="AC31" s="987" t="s">
        <v>202</v>
      </c>
      <c r="AD31" s="1402"/>
      <c r="AE31" s="987">
        <v>0.25</v>
      </c>
      <c r="AF31" s="1300">
        <f t="shared" si="1"/>
        <v>181923.07692307694</v>
      </c>
    </row>
    <row r="32" spans="1:32" s="287" customFormat="1" ht="15" customHeight="1">
      <c r="A32" s="1396"/>
      <c r="B32" s="1393"/>
      <c r="C32" s="987"/>
      <c r="D32" s="986"/>
      <c r="E32" s="1299"/>
      <c r="F32" s="1299"/>
      <c r="G32" s="1299"/>
      <c r="H32" s="1299"/>
      <c r="I32" s="1299"/>
      <c r="J32" s="1301">
        <v>1</v>
      </c>
      <c r="K32" s="1299"/>
      <c r="L32" s="1299"/>
      <c r="M32" s="1299"/>
      <c r="N32" s="1299"/>
      <c r="O32" s="1299"/>
      <c r="P32" s="1299"/>
      <c r="Q32" s="1299"/>
      <c r="R32" s="1299"/>
      <c r="S32" s="1299"/>
      <c r="T32" s="1299">
        <v>1</v>
      </c>
      <c r="U32" s="1299"/>
      <c r="V32" s="1299"/>
      <c r="W32" s="1299"/>
      <c r="X32" s="1299"/>
      <c r="Y32" s="1299"/>
      <c r="Z32" s="1299"/>
      <c r="AA32" s="1299">
        <f t="shared" si="0"/>
        <v>2</v>
      </c>
      <c r="AB32" s="1389"/>
      <c r="AC32" s="987" t="s">
        <v>545</v>
      </c>
      <c r="AD32" s="1402" t="s">
        <v>34</v>
      </c>
      <c r="AE32" s="987">
        <v>0.54</v>
      </c>
      <c r="AF32" s="1300">
        <f t="shared" si="1"/>
        <v>570199.5</v>
      </c>
    </row>
    <row r="33" spans="1:32" s="287" customFormat="1" ht="15" customHeight="1">
      <c r="A33" s="1396"/>
      <c r="B33" s="1393"/>
      <c r="C33" s="987">
        <v>1</v>
      </c>
      <c r="D33" s="986"/>
      <c r="E33" s="1299"/>
      <c r="F33" s="1299"/>
      <c r="G33" s="1299"/>
      <c r="H33" s="1299"/>
      <c r="I33" s="1299"/>
      <c r="J33" s="1301"/>
      <c r="K33" s="1299"/>
      <c r="L33" s="1299"/>
      <c r="M33" s="1299"/>
      <c r="N33" s="1299"/>
      <c r="O33" s="1299"/>
      <c r="P33" s="1299"/>
      <c r="Q33" s="1299"/>
      <c r="R33" s="1299"/>
      <c r="S33" s="1299"/>
      <c r="T33" s="1299"/>
      <c r="U33" s="1299"/>
      <c r="V33" s="1299"/>
      <c r="W33" s="1299"/>
      <c r="X33" s="1299"/>
      <c r="Y33" s="1299"/>
      <c r="Z33" s="1299"/>
      <c r="AA33" s="1299">
        <f t="shared" si="0"/>
        <v>1</v>
      </c>
      <c r="AB33" s="1389"/>
      <c r="AC33" s="987" t="s">
        <v>202</v>
      </c>
      <c r="AD33" s="1402"/>
      <c r="AE33" s="988">
        <v>0.3</v>
      </c>
      <c r="AF33" s="1300">
        <f t="shared" si="1"/>
        <v>181923.07692307694</v>
      </c>
    </row>
    <row r="34" spans="1:32" s="287" customFormat="1" ht="15" customHeight="1">
      <c r="A34" s="1396"/>
      <c r="B34" s="1393"/>
      <c r="C34" s="987"/>
      <c r="D34" s="986"/>
      <c r="E34" s="1299"/>
      <c r="F34" s="1299"/>
      <c r="G34" s="1299"/>
      <c r="H34" s="1299"/>
      <c r="I34" s="1299"/>
      <c r="J34" s="1301">
        <v>1</v>
      </c>
      <c r="K34" s="1299"/>
      <c r="L34" s="1299"/>
      <c r="M34" s="1299"/>
      <c r="N34" s="1299"/>
      <c r="O34" s="1299"/>
      <c r="P34" s="1299"/>
      <c r="Q34" s="1299"/>
      <c r="R34" s="1299"/>
      <c r="S34" s="1299"/>
      <c r="T34" s="1299">
        <v>1</v>
      </c>
      <c r="U34" s="1299"/>
      <c r="V34" s="1299"/>
      <c r="W34" s="1299"/>
      <c r="X34" s="1299"/>
      <c r="Y34" s="1299"/>
      <c r="Z34" s="1299"/>
      <c r="AA34" s="1299">
        <f t="shared" si="0"/>
        <v>2</v>
      </c>
      <c r="AB34" s="1389"/>
      <c r="AC34" s="987" t="s">
        <v>545</v>
      </c>
      <c r="AD34" s="1402" t="s">
        <v>35</v>
      </c>
      <c r="AE34" s="987">
        <v>0.64800000000000002</v>
      </c>
      <c r="AF34" s="1300">
        <f t="shared" si="1"/>
        <v>570199.5</v>
      </c>
    </row>
    <row r="35" spans="1:32" s="287" customFormat="1" ht="15" customHeight="1">
      <c r="A35" s="1397"/>
      <c r="B35" s="1394"/>
      <c r="C35" s="987">
        <v>1</v>
      </c>
      <c r="D35" s="986"/>
      <c r="E35" s="1299"/>
      <c r="F35" s="1299"/>
      <c r="G35" s="1299"/>
      <c r="H35" s="1299"/>
      <c r="I35" s="1299"/>
      <c r="J35" s="1301"/>
      <c r="K35" s="1299"/>
      <c r="L35" s="1299"/>
      <c r="M35" s="1299"/>
      <c r="N35" s="1299"/>
      <c r="O35" s="1299"/>
      <c r="P35" s="1299"/>
      <c r="Q35" s="1299"/>
      <c r="R35" s="1299"/>
      <c r="S35" s="1299"/>
      <c r="T35" s="1299"/>
      <c r="U35" s="1299"/>
      <c r="V35" s="1299"/>
      <c r="W35" s="1299"/>
      <c r="X35" s="1299"/>
      <c r="Y35" s="1299"/>
      <c r="Z35" s="1299"/>
      <c r="AA35" s="1299">
        <f t="shared" si="0"/>
        <v>1</v>
      </c>
      <c r="AB35" s="1389"/>
      <c r="AC35" s="987" t="s">
        <v>202</v>
      </c>
      <c r="AD35" s="1402"/>
      <c r="AE35" s="987">
        <v>0.36</v>
      </c>
      <c r="AF35" s="1300">
        <f t="shared" si="1"/>
        <v>181923.07692307694</v>
      </c>
    </row>
    <row r="36" spans="1:32" s="287" customFormat="1">
      <c r="A36" s="1395" t="s">
        <v>162</v>
      </c>
      <c r="B36" s="1392" t="s">
        <v>640</v>
      </c>
      <c r="C36" s="987"/>
      <c r="D36" s="986"/>
      <c r="E36" s="1299"/>
      <c r="F36" s="1299"/>
      <c r="G36" s="1299"/>
      <c r="H36" s="1299"/>
      <c r="I36" s="1299"/>
      <c r="J36" s="1301">
        <v>1</v>
      </c>
      <c r="K36" s="1299"/>
      <c r="L36" s="1299"/>
      <c r="M36" s="1299"/>
      <c r="N36" s="1299"/>
      <c r="O36" s="1299"/>
      <c r="P36" s="1299"/>
      <c r="Q36" s="1299"/>
      <c r="R36" s="1299"/>
      <c r="S36" s="1299"/>
      <c r="T36" s="1299">
        <v>1</v>
      </c>
      <c r="U36" s="1299"/>
      <c r="V36" s="1299"/>
      <c r="W36" s="1299"/>
      <c r="X36" s="1299"/>
      <c r="Y36" s="1299"/>
      <c r="Z36" s="1299"/>
      <c r="AA36" s="1299">
        <f t="shared" si="0"/>
        <v>2</v>
      </c>
      <c r="AB36" s="1389" t="s">
        <v>53</v>
      </c>
      <c r="AC36" s="987" t="s">
        <v>545</v>
      </c>
      <c r="AD36" s="1402" t="s">
        <v>33</v>
      </c>
      <c r="AE36" s="990">
        <v>1.1000000000000001</v>
      </c>
      <c r="AF36" s="1300">
        <f t="shared" ref="AF36:AF41" si="2">(C36*C$6+D36*D$6+E36*E$6+F36*F$6+G36*G$6+H36*H$6+I36*I$6+J36*J$6+K36*K$6+L36*L$6+M36*M$6+N36*N$6+O36*O$6+P36*P$6+Q36*Q$6+R36*R$6+S36*S$6+T36*T$6+U36*U$6+V36*V$6+W36*W$6+X36*X$6+Y36*Y$6+Z36*Z$6)</f>
        <v>570199.5</v>
      </c>
    </row>
    <row r="37" spans="1:32" s="287" customFormat="1" ht="15" customHeight="1">
      <c r="A37" s="1396"/>
      <c r="B37" s="1393"/>
      <c r="C37" s="987">
        <v>1</v>
      </c>
      <c r="D37" s="986"/>
      <c r="E37" s="1299"/>
      <c r="F37" s="1299"/>
      <c r="G37" s="1299"/>
      <c r="H37" s="1299"/>
      <c r="I37" s="1299"/>
      <c r="J37" s="1301"/>
      <c r="K37" s="1299"/>
      <c r="L37" s="1299"/>
      <c r="M37" s="1299"/>
      <c r="N37" s="1299"/>
      <c r="O37" s="1299"/>
      <c r="P37" s="1299"/>
      <c r="Q37" s="1299"/>
      <c r="R37" s="1299"/>
      <c r="S37" s="1299"/>
      <c r="T37" s="1299"/>
      <c r="U37" s="1299"/>
      <c r="V37" s="1299"/>
      <c r="W37" s="1299"/>
      <c r="X37" s="1299"/>
      <c r="Y37" s="1299"/>
      <c r="Z37" s="1299"/>
      <c r="AA37" s="1299">
        <f t="shared" si="0"/>
        <v>1</v>
      </c>
      <c r="AB37" s="1389"/>
      <c r="AC37" s="987" t="s">
        <v>202</v>
      </c>
      <c r="AD37" s="1402"/>
      <c r="AE37" s="987">
        <v>0.61</v>
      </c>
      <c r="AF37" s="1300">
        <f t="shared" si="2"/>
        <v>181923.07692307694</v>
      </c>
    </row>
    <row r="38" spans="1:32" s="287" customFormat="1" ht="15" customHeight="1">
      <c r="A38" s="1396"/>
      <c r="B38" s="1393"/>
      <c r="C38" s="987"/>
      <c r="D38" s="986"/>
      <c r="E38" s="1299"/>
      <c r="F38" s="1299"/>
      <c r="G38" s="1299"/>
      <c r="H38" s="1299"/>
      <c r="I38" s="1299"/>
      <c r="J38" s="1301">
        <v>1</v>
      </c>
      <c r="K38" s="1299"/>
      <c r="L38" s="1299"/>
      <c r="M38" s="1299"/>
      <c r="N38" s="1299"/>
      <c r="O38" s="1299"/>
      <c r="P38" s="1299"/>
      <c r="Q38" s="1299"/>
      <c r="R38" s="1299"/>
      <c r="S38" s="1299"/>
      <c r="T38" s="1299">
        <v>1</v>
      </c>
      <c r="U38" s="1299"/>
      <c r="V38" s="1299"/>
      <c r="W38" s="1299"/>
      <c r="X38" s="1299"/>
      <c r="Y38" s="1299"/>
      <c r="Z38" s="1299"/>
      <c r="AA38" s="1299">
        <f t="shared" si="0"/>
        <v>2</v>
      </c>
      <c r="AB38" s="1389"/>
      <c r="AC38" s="987" t="s">
        <v>545</v>
      </c>
      <c r="AD38" s="1402" t="s">
        <v>34</v>
      </c>
      <c r="AE38" s="987">
        <v>1.21</v>
      </c>
      <c r="AF38" s="1300">
        <f t="shared" si="2"/>
        <v>570199.5</v>
      </c>
    </row>
    <row r="39" spans="1:32" s="287" customFormat="1" ht="15" customHeight="1">
      <c r="A39" s="1396"/>
      <c r="B39" s="1393"/>
      <c r="C39" s="987">
        <v>1</v>
      </c>
      <c r="D39" s="986"/>
      <c r="E39" s="1299"/>
      <c r="F39" s="1299"/>
      <c r="G39" s="1299"/>
      <c r="H39" s="1299"/>
      <c r="I39" s="1299"/>
      <c r="J39" s="1301"/>
      <c r="K39" s="1299"/>
      <c r="L39" s="1299"/>
      <c r="M39" s="1299"/>
      <c r="N39" s="1299"/>
      <c r="O39" s="1299"/>
      <c r="P39" s="1299"/>
      <c r="Q39" s="1299"/>
      <c r="R39" s="1299"/>
      <c r="S39" s="1299"/>
      <c r="T39" s="1299"/>
      <c r="U39" s="1299"/>
      <c r="V39" s="1299"/>
      <c r="W39" s="1299"/>
      <c r="X39" s="1299"/>
      <c r="Y39" s="1299"/>
      <c r="Z39" s="1299"/>
      <c r="AA39" s="1299">
        <f t="shared" si="0"/>
        <v>1</v>
      </c>
      <c r="AB39" s="1389"/>
      <c r="AC39" s="987" t="s">
        <v>202</v>
      </c>
      <c r="AD39" s="1402"/>
      <c r="AE39" s="988">
        <v>0.67</v>
      </c>
      <c r="AF39" s="1300">
        <f t="shared" si="2"/>
        <v>181923.07692307694</v>
      </c>
    </row>
    <row r="40" spans="1:32" s="287" customFormat="1" ht="15" customHeight="1">
      <c r="A40" s="1396"/>
      <c r="B40" s="1393"/>
      <c r="C40" s="987"/>
      <c r="D40" s="986"/>
      <c r="E40" s="1299"/>
      <c r="F40" s="1299"/>
      <c r="G40" s="1299"/>
      <c r="H40" s="1299"/>
      <c r="I40" s="1299"/>
      <c r="J40" s="1301">
        <v>1</v>
      </c>
      <c r="K40" s="1299"/>
      <c r="L40" s="1299"/>
      <c r="M40" s="1299"/>
      <c r="N40" s="1299"/>
      <c r="O40" s="1299"/>
      <c r="P40" s="1299"/>
      <c r="Q40" s="1299"/>
      <c r="R40" s="1299"/>
      <c r="S40" s="1299"/>
      <c r="T40" s="1299">
        <v>1</v>
      </c>
      <c r="U40" s="1299"/>
      <c r="V40" s="1299"/>
      <c r="W40" s="1299"/>
      <c r="X40" s="1299"/>
      <c r="Y40" s="1299"/>
      <c r="Z40" s="1299"/>
      <c r="AA40" s="1299">
        <f t="shared" si="0"/>
        <v>2</v>
      </c>
      <c r="AB40" s="1389"/>
      <c r="AC40" s="987" t="s">
        <v>545</v>
      </c>
      <c r="AD40" s="1402" t="s">
        <v>35</v>
      </c>
      <c r="AE40" s="987">
        <v>1.331</v>
      </c>
      <c r="AF40" s="1300">
        <f t="shared" si="2"/>
        <v>570199.5</v>
      </c>
    </row>
    <row r="41" spans="1:32" s="287" customFormat="1" ht="15" customHeight="1">
      <c r="A41" s="1397"/>
      <c r="B41" s="1394"/>
      <c r="C41" s="987">
        <v>1</v>
      </c>
      <c r="D41" s="986"/>
      <c r="E41" s="1299"/>
      <c r="F41" s="1299"/>
      <c r="G41" s="1299"/>
      <c r="H41" s="1299"/>
      <c r="I41" s="1299"/>
      <c r="J41" s="1301"/>
      <c r="K41" s="1299"/>
      <c r="L41" s="1299"/>
      <c r="M41" s="1299"/>
      <c r="N41" s="1299"/>
      <c r="O41" s="1299"/>
      <c r="P41" s="1299"/>
      <c r="Q41" s="1299"/>
      <c r="R41" s="1299"/>
      <c r="S41" s="1299"/>
      <c r="T41" s="1299"/>
      <c r="U41" s="1299"/>
      <c r="V41" s="1299"/>
      <c r="W41" s="1299"/>
      <c r="X41" s="1299"/>
      <c r="Y41" s="1299"/>
      <c r="Z41" s="1299"/>
      <c r="AA41" s="1299">
        <f t="shared" si="0"/>
        <v>1</v>
      </c>
      <c r="AB41" s="1389"/>
      <c r="AC41" s="987" t="s">
        <v>202</v>
      </c>
      <c r="AD41" s="1402"/>
      <c r="AE41" s="987">
        <v>0.73</v>
      </c>
      <c r="AF41" s="1300">
        <f t="shared" si="2"/>
        <v>181923.07692307694</v>
      </c>
    </row>
    <row r="42" spans="1:32" s="287" customFormat="1" ht="25.5">
      <c r="A42" s="1036" t="s">
        <v>165</v>
      </c>
      <c r="B42" s="986" t="s">
        <v>641</v>
      </c>
      <c r="C42" s="987"/>
      <c r="D42" s="986"/>
      <c r="E42" s="1299"/>
      <c r="F42" s="1299"/>
      <c r="G42" s="1299"/>
      <c r="H42" s="1299"/>
      <c r="I42" s="1299"/>
      <c r="J42" s="1301"/>
      <c r="K42" s="1299"/>
      <c r="L42" s="1299"/>
      <c r="M42" s="1299"/>
      <c r="N42" s="1299"/>
      <c r="O42" s="1299"/>
      <c r="P42" s="1299"/>
      <c r="Q42" s="1299"/>
      <c r="R42" s="1299"/>
      <c r="S42" s="1299"/>
      <c r="T42" s="1299">
        <v>1</v>
      </c>
      <c r="U42" s="1299"/>
      <c r="V42" s="1299"/>
      <c r="W42" s="1299"/>
      <c r="X42" s="1299"/>
      <c r="Y42" s="1299"/>
      <c r="Z42" s="1299"/>
      <c r="AA42" s="1299">
        <f t="shared" si="0"/>
        <v>1</v>
      </c>
      <c r="AB42" s="987" t="s">
        <v>53</v>
      </c>
      <c r="AC42" s="987" t="s">
        <v>106</v>
      </c>
      <c r="AD42" s="1036" t="s">
        <v>32</v>
      </c>
      <c r="AE42" s="987">
        <v>0.05</v>
      </c>
      <c r="AF42" s="1300">
        <f t="shared" si="1"/>
        <v>296770.5</v>
      </c>
    </row>
    <row r="43" spans="1:32" s="287" customFormat="1" ht="38.25">
      <c r="A43" s="1036" t="s">
        <v>37</v>
      </c>
      <c r="B43" s="986" t="s">
        <v>709</v>
      </c>
      <c r="C43" s="987"/>
      <c r="D43" s="986"/>
      <c r="E43" s="1299"/>
      <c r="F43" s="1299"/>
      <c r="G43" s="1299"/>
      <c r="H43" s="1299"/>
      <c r="I43" s="1299"/>
      <c r="J43" s="1301">
        <v>1</v>
      </c>
      <c r="K43" s="1299"/>
      <c r="L43" s="1299"/>
      <c r="M43" s="1299"/>
      <c r="N43" s="1299"/>
      <c r="O43" s="1299"/>
      <c r="P43" s="1299"/>
      <c r="Q43" s="1299"/>
      <c r="R43" s="1299"/>
      <c r="S43" s="1299"/>
      <c r="T43" s="1299"/>
      <c r="U43" s="1299"/>
      <c r="V43" s="1299"/>
      <c r="W43" s="1299"/>
      <c r="X43" s="1299"/>
      <c r="Y43" s="1299"/>
      <c r="Z43" s="1299"/>
      <c r="AA43" s="1306">
        <f t="shared" si="0"/>
        <v>1</v>
      </c>
      <c r="AB43" s="987" t="s">
        <v>53</v>
      </c>
      <c r="AC43" s="987" t="s">
        <v>108</v>
      </c>
      <c r="AD43" s="1036" t="s">
        <v>32</v>
      </c>
      <c r="AE43" s="987">
        <v>1.4999999999999999E-2</v>
      </c>
      <c r="AF43" s="1300">
        <f t="shared" si="1"/>
        <v>273429.00000000006</v>
      </c>
    </row>
    <row r="44" spans="1:32" s="287" customFormat="1" ht="25.5">
      <c r="A44" s="1036" t="s">
        <v>38</v>
      </c>
      <c r="B44" s="986" t="s">
        <v>610</v>
      </c>
      <c r="C44" s="987"/>
      <c r="D44" s="986"/>
      <c r="E44" s="1299"/>
      <c r="F44" s="1299"/>
      <c r="G44" s="1299"/>
      <c r="H44" s="1299"/>
      <c r="I44" s="1299"/>
      <c r="J44" s="1301"/>
      <c r="K44" s="1299"/>
      <c r="L44" s="1299"/>
      <c r="M44" s="1299"/>
      <c r="N44" s="1299"/>
      <c r="O44" s="1299"/>
      <c r="P44" s="1299"/>
      <c r="Q44" s="1299"/>
      <c r="R44" s="1299"/>
      <c r="S44" s="1299"/>
      <c r="T44" s="1299"/>
      <c r="U44" s="1299"/>
      <c r="V44" s="1299"/>
      <c r="W44" s="1299"/>
      <c r="X44" s="1299"/>
      <c r="Y44" s="1299"/>
      <c r="Z44" s="1299"/>
      <c r="AA44" s="1306">
        <f t="shared" si="0"/>
        <v>0</v>
      </c>
      <c r="AB44" s="987"/>
      <c r="AC44" s="987"/>
      <c r="AD44" s="1036"/>
      <c r="AE44" s="987"/>
      <c r="AF44" s="1300"/>
    </row>
    <row r="45" spans="1:32" s="285" customFormat="1" ht="15">
      <c r="A45" s="1041" t="s">
        <v>206</v>
      </c>
      <c r="B45" s="1039" t="s">
        <v>153</v>
      </c>
      <c r="C45" s="987"/>
      <c r="D45" s="986"/>
      <c r="E45" s="1299"/>
      <c r="F45" s="1299"/>
      <c r="G45" s="1299"/>
      <c r="H45" s="1299"/>
      <c r="I45" s="1299"/>
      <c r="J45" s="1301"/>
      <c r="K45" s="1299"/>
      <c r="L45" s="1299"/>
      <c r="M45" s="1299"/>
      <c r="N45" s="1299"/>
      <c r="O45" s="1299"/>
      <c r="P45" s="1299"/>
      <c r="Q45" s="1299"/>
      <c r="R45" s="1299"/>
      <c r="S45" s="1299"/>
      <c r="T45" s="1299"/>
      <c r="U45" s="1299">
        <v>1</v>
      </c>
      <c r="V45" s="1299"/>
      <c r="W45" s="1299"/>
      <c r="X45" s="1299"/>
      <c r="Y45" s="1299"/>
      <c r="Z45" s="1299"/>
      <c r="AA45" s="1306">
        <f t="shared" si="0"/>
        <v>1</v>
      </c>
      <c r="AB45" s="987" t="s">
        <v>53</v>
      </c>
      <c r="AC45" s="987" t="s">
        <v>106</v>
      </c>
      <c r="AD45" s="1036" t="s">
        <v>32</v>
      </c>
      <c r="AE45" s="987">
        <v>1.4999999999999999E-2</v>
      </c>
      <c r="AF45" s="1300">
        <f t="shared" si="1"/>
        <v>333450</v>
      </c>
    </row>
    <row r="46" spans="1:32" s="285" customFormat="1" ht="15">
      <c r="A46" s="1297" t="s">
        <v>207</v>
      </c>
      <c r="B46" s="1295" t="s">
        <v>155</v>
      </c>
      <c r="C46" s="1046"/>
      <c r="D46" s="1045"/>
      <c r="E46" s="1307"/>
      <c r="F46" s="1307"/>
      <c r="G46" s="1307"/>
      <c r="H46" s="1307"/>
      <c r="I46" s="1307"/>
      <c r="J46" s="1308"/>
      <c r="K46" s="1307"/>
      <c r="L46" s="1307"/>
      <c r="M46" s="1307"/>
      <c r="N46" s="1307"/>
      <c r="O46" s="1307"/>
      <c r="P46" s="1307"/>
      <c r="Q46" s="1307"/>
      <c r="R46" s="1307"/>
      <c r="S46" s="1307"/>
      <c r="T46" s="1307"/>
      <c r="U46" s="1307">
        <v>1</v>
      </c>
      <c r="V46" s="1307"/>
      <c r="W46" s="1307"/>
      <c r="X46" s="1307"/>
      <c r="Y46" s="1307"/>
      <c r="Z46" s="1307"/>
      <c r="AA46" s="1309">
        <f t="shared" si="0"/>
        <v>1</v>
      </c>
      <c r="AB46" s="1046" t="s">
        <v>53</v>
      </c>
      <c r="AC46" s="1046" t="s">
        <v>106</v>
      </c>
      <c r="AD46" s="1044" t="s">
        <v>32</v>
      </c>
      <c r="AE46" s="1046">
        <v>0.01</v>
      </c>
      <c r="AF46" s="1310">
        <f t="shared" si="1"/>
        <v>333450</v>
      </c>
    </row>
    <row r="47" spans="1:32" s="287" customFormat="1" ht="25.5">
      <c r="A47" s="1044" t="s">
        <v>184</v>
      </c>
      <c r="B47" s="1045" t="s">
        <v>611</v>
      </c>
      <c r="C47" s="1046"/>
      <c r="D47" s="1045"/>
      <c r="E47" s="1307"/>
      <c r="F47" s="1307"/>
      <c r="G47" s="1307"/>
      <c r="H47" s="1307"/>
      <c r="I47" s="1307"/>
      <c r="J47" s="1308"/>
      <c r="K47" s="1307"/>
      <c r="L47" s="1307"/>
      <c r="M47" s="1307"/>
      <c r="N47" s="1307"/>
      <c r="O47" s="1307"/>
      <c r="P47" s="1307"/>
      <c r="Q47" s="1307"/>
      <c r="R47" s="1307"/>
      <c r="S47" s="1307"/>
      <c r="T47" s="1307"/>
      <c r="U47" s="1307">
        <v>1</v>
      </c>
      <c r="V47" s="1307"/>
      <c r="W47" s="1307"/>
      <c r="X47" s="1307"/>
      <c r="Y47" s="1307"/>
      <c r="Z47" s="1307"/>
      <c r="AA47" s="1309">
        <f t="shared" si="0"/>
        <v>1</v>
      </c>
      <c r="AB47" s="1046" t="s">
        <v>1</v>
      </c>
      <c r="AC47" s="1046" t="s">
        <v>106</v>
      </c>
      <c r="AD47" s="1044" t="s">
        <v>32</v>
      </c>
      <c r="AE47" s="1046">
        <v>0.2</v>
      </c>
      <c r="AF47" s="1310">
        <f t="shared" si="1"/>
        <v>333450</v>
      </c>
    </row>
    <row r="48" spans="1:32" s="287" customFormat="1" ht="15">
      <c r="A48" s="1044" t="s">
        <v>185</v>
      </c>
      <c r="B48" s="1045" t="s">
        <v>642</v>
      </c>
      <c r="C48" s="1046"/>
      <c r="D48" s="1045"/>
      <c r="E48" s="1307"/>
      <c r="F48" s="1307"/>
      <c r="G48" s="1307"/>
      <c r="H48" s="1307"/>
      <c r="I48" s="1307"/>
      <c r="J48" s="1308"/>
      <c r="K48" s="1307"/>
      <c r="L48" s="1307"/>
      <c r="M48" s="1307"/>
      <c r="N48" s="1307"/>
      <c r="O48" s="1307"/>
      <c r="P48" s="1307"/>
      <c r="Q48" s="1307"/>
      <c r="R48" s="1307"/>
      <c r="S48" s="1307"/>
      <c r="T48" s="1307"/>
      <c r="U48" s="1307"/>
      <c r="V48" s="1307"/>
      <c r="W48" s="1307"/>
      <c r="X48" s="1307"/>
      <c r="Y48" s="1307"/>
      <c r="Z48" s="1307"/>
      <c r="AA48" s="1309">
        <f t="shared" si="0"/>
        <v>0</v>
      </c>
      <c r="AB48" s="1046"/>
      <c r="AC48" s="1046"/>
      <c r="AD48" s="1044"/>
      <c r="AE48" s="1046"/>
      <c r="AF48" s="1310"/>
    </row>
    <row r="49" spans="1:32" s="285" customFormat="1" ht="15">
      <c r="A49" s="1297" t="s">
        <v>227</v>
      </c>
      <c r="B49" s="1295" t="s">
        <v>153</v>
      </c>
      <c r="C49" s="1046"/>
      <c r="D49" s="1045"/>
      <c r="E49" s="1307"/>
      <c r="F49" s="1307"/>
      <c r="G49" s="1307"/>
      <c r="H49" s="1307"/>
      <c r="I49" s="1307"/>
      <c r="J49" s="1308"/>
      <c r="K49" s="1307"/>
      <c r="L49" s="1307"/>
      <c r="M49" s="1307"/>
      <c r="N49" s="1307"/>
      <c r="O49" s="1307"/>
      <c r="P49" s="1307"/>
      <c r="Q49" s="1307"/>
      <c r="R49" s="1307"/>
      <c r="S49" s="1307"/>
      <c r="T49" s="1307"/>
      <c r="U49" s="1307">
        <v>1</v>
      </c>
      <c r="V49" s="1307"/>
      <c r="W49" s="1307"/>
      <c r="X49" s="1307"/>
      <c r="Y49" s="1307"/>
      <c r="Z49" s="1307"/>
      <c r="AA49" s="1309">
        <f t="shared" si="0"/>
        <v>1</v>
      </c>
      <c r="AB49" s="1046" t="s">
        <v>53</v>
      </c>
      <c r="AC49" s="1046" t="s">
        <v>106</v>
      </c>
      <c r="AD49" s="1044" t="s">
        <v>32</v>
      </c>
      <c r="AE49" s="1046">
        <v>0.05</v>
      </c>
      <c r="AF49" s="1310">
        <f>(C49*C$6+D49*D$6+E49*E$6+F49*F$6+G49*G$6+H49*H$6+I49*I$6+J49*J$6+K49*K$6+L49*L$6+M49*M$6+N49*N$6+O49*O$6+P49*P$6+Q49*Q$6+R49*R$6+S49*S$6+T49*T$6+U49*U$6+V49*V$6+W49*W$6+X49*X$6+Y49*Y$6+Z49*Z$6)</f>
        <v>333450</v>
      </c>
    </row>
    <row r="50" spans="1:32" s="285" customFormat="1" ht="15">
      <c r="A50" s="1297" t="s">
        <v>228</v>
      </c>
      <c r="B50" s="1295" t="s">
        <v>155</v>
      </c>
      <c r="C50" s="1046"/>
      <c r="D50" s="1045"/>
      <c r="E50" s="1307"/>
      <c r="F50" s="1307"/>
      <c r="G50" s="1307"/>
      <c r="H50" s="1307"/>
      <c r="I50" s="1307"/>
      <c r="J50" s="1308"/>
      <c r="K50" s="1307"/>
      <c r="L50" s="1307"/>
      <c r="M50" s="1307"/>
      <c r="N50" s="1307"/>
      <c r="O50" s="1307"/>
      <c r="P50" s="1307"/>
      <c r="Q50" s="1307"/>
      <c r="R50" s="1307"/>
      <c r="S50" s="1307"/>
      <c r="T50" s="1307"/>
      <c r="U50" s="1307">
        <v>1</v>
      </c>
      <c r="V50" s="1307"/>
      <c r="W50" s="1307"/>
      <c r="X50" s="1307"/>
      <c r="Y50" s="1307"/>
      <c r="Z50" s="1307"/>
      <c r="AA50" s="1309">
        <f t="shared" si="0"/>
        <v>1</v>
      </c>
      <c r="AB50" s="1046" t="s">
        <v>53</v>
      </c>
      <c r="AC50" s="1046" t="s">
        <v>106</v>
      </c>
      <c r="AD50" s="1044" t="s">
        <v>32</v>
      </c>
      <c r="AE50" s="1046">
        <v>0.04</v>
      </c>
      <c r="AF50" s="1310">
        <f t="shared" si="1"/>
        <v>333450</v>
      </c>
    </row>
    <row r="51" spans="1:32" s="287" customFormat="1" ht="15">
      <c r="A51" s="1036" t="s">
        <v>187</v>
      </c>
      <c r="B51" s="986" t="s">
        <v>643</v>
      </c>
      <c r="C51" s="987"/>
      <c r="D51" s="986"/>
      <c r="E51" s="987"/>
      <c r="F51" s="987"/>
      <c r="G51" s="987"/>
      <c r="H51" s="987"/>
      <c r="I51" s="987"/>
      <c r="J51" s="987"/>
      <c r="K51" s="987"/>
      <c r="L51" s="988"/>
      <c r="M51" s="988"/>
      <c r="N51" s="988"/>
      <c r="O51" s="988"/>
      <c r="P51" s="987"/>
      <c r="Q51" s="987"/>
      <c r="R51" s="987"/>
      <c r="S51" s="987"/>
      <c r="T51" s="987"/>
      <c r="U51" s="987">
        <v>1</v>
      </c>
      <c r="V51" s="987"/>
      <c r="W51" s="987"/>
      <c r="X51" s="987"/>
      <c r="Y51" s="987"/>
      <c r="Z51" s="987"/>
      <c r="AA51" s="1306">
        <f t="shared" si="0"/>
        <v>1</v>
      </c>
      <c r="AB51" s="987" t="s">
        <v>53</v>
      </c>
      <c r="AC51" s="987" t="s">
        <v>106</v>
      </c>
      <c r="AD51" s="1036" t="s">
        <v>32</v>
      </c>
      <c r="AE51" s="987">
        <v>0.05</v>
      </c>
      <c r="AF51" s="989">
        <f t="shared" si="1"/>
        <v>333450</v>
      </c>
    </row>
    <row r="52" spans="1:32" s="287" customFormat="1" ht="38.25">
      <c r="A52" s="1036" t="s">
        <v>194</v>
      </c>
      <c r="B52" s="986" t="s">
        <v>644</v>
      </c>
      <c r="C52" s="987"/>
      <c r="D52" s="986"/>
      <c r="E52" s="987"/>
      <c r="F52" s="987"/>
      <c r="G52" s="987"/>
      <c r="H52" s="987"/>
      <c r="I52" s="987"/>
      <c r="J52" s="987"/>
      <c r="K52" s="987"/>
      <c r="L52" s="988"/>
      <c r="M52" s="988"/>
      <c r="N52" s="988"/>
      <c r="O52" s="988"/>
      <c r="P52" s="987"/>
      <c r="Q52" s="987"/>
      <c r="R52" s="987"/>
      <c r="S52" s="987"/>
      <c r="T52" s="987"/>
      <c r="U52" s="987">
        <v>1</v>
      </c>
      <c r="V52" s="987"/>
      <c r="W52" s="987"/>
      <c r="X52" s="987"/>
      <c r="Y52" s="987"/>
      <c r="Z52" s="987"/>
      <c r="AA52" s="1306">
        <f t="shared" si="0"/>
        <v>1</v>
      </c>
      <c r="AB52" s="987" t="s">
        <v>53</v>
      </c>
      <c r="AC52" s="987" t="s">
        <v>106</v>
      </c>
      <c r="AD52" s="1036" t="s">
        <v>32</v>
      </c>
      <c r="AE52" s="987">
        <v>0.05</v>
      </c>
      <c r="AF52" s="989">
        <f t="shared" si="1"/>
        <v>333450</v>
      </c>
    </row>
    <row r="53" spans="1:32" s="287" customFormat="1" ht="51">
      <c r="A53" s="1036" t="s">
        <v>195</v>
      </c>
      <c r="B53" s="986" t="s">
        <v>645</v>
      </c>
      <c r="C53" s="987"/>
      <c r="D53" s="986"/>
      <c r="E53" s="987"/>
      <c r="F53" s="987"/>
      <c r="G53" s="987"/>
      <c r="H53" s="987"/>
      <c r="I53" s="987"/>
      <c r="J53" s="987"/>
      <c r="K53" s="987"/>
      <c r="L53" s="988"/>
      <c r="M53" s="988"/>
      <c r="N53" s="988"/>
      <c r="O53" s="988"/>
      <c r="P53" s="987"/>
      <c r="Q53" s="987"/>
      <c r="R53" s="987"/>
      <c r="S53" s="987">
        <v>1</v>
      </c>
      <c r="T53" s="987"/>
      <c r="U53" s="987"/>
      <c r="V53" s="987"/>
      <c r="W53" s="987"/>
      <c r="X53" s="987"/>
      <c r="Y53" s="987"/>
      <c r="Z53" s="987"/>
      <c r="AA53" s="1306">
        <f t="shared" si="0"/>
        <v>1</v>
      </c>
      <c r="AB53" s="987" t="s">
        <v>53</v>
      </c>
      <c r="AC53" s="1305" t="s">
        <v>68</v>
      </c>
      <c r="AD53" s="1036" t="s">
        <v>32</v>
      </c>
      <c r="AE53" s="987">
        <v>0.02</v>
      </c>
      <c r="AF53" s="989">
        <f t="shared" si="1"/>
        <v>260091</v>
      </c>
    </row>
    <row r="54" spans="1:32" s="287" customFormat="1" ht="38.25">
      <c r="A54" s="1036" t="s">
        <v>210</v>
      </c>
      <c r="B54" s="986" t="s">
        <v>646</v>
      </c>
      <c r="C54" s="987"/>
      <c r="D54" s="986"/>
      <c r="E54" s="987"/>
      <c r="F54" s="987"/>
      <c r="G54" s="987"/>
      <c r="H54" s="987"/>
      <c r="I54" s="987"/>
      <c r="J54" s="987"/>
      <c r="K54" s="987"/>
      <c r="L54" s="988"/>
      <c r="M54" s="988"/>
      <c r="N54" s="988"/>
      <c r="O54" s="988"/>
      <c r="P54" s="987"/>
      <c r="Q54" s="987"/>
      <c r="R54" s="987"/>
      <c r="S54" s="987">
        <v>1</v>
      </c>
      <c r="T54" s="987"/>
      <c r="U54" s="987"/>
      <c r="V54" s="987"/>
      <c r="W54" s="987"/>
      <c r="X54" s="987"/>
      <c r="Y54" s="987"/>
      <c r="Z54" s="987"/>
      <c r="AA54" s="1306">
        <f t="shared" si="0"/>
        <v>1</v>
      </c>
      <c r="AB54" s="987" t="s">
        <v>53</v>
      </c>
      <c r="AC54" s="1305" t="s">
        <v>68</v>
      </c>
      <c r="AD54" s="1036" t="s">
        <v>32</v>
      </c>
      <c r="AE54" s="987">
        <v>0.02</v>
      </c>
      <c r="AF54" s="989">
        <f t="shared" si="1"/>
        <v>260091</v>
      </c>
    </row>
    <row r="55" spans="1:32" s="287" customFormat="1" ht="38.25">
      <c r="A55" s="1036" t="s">
        <v>296</v>
      </c>
      <c r="B55" s="1311" t="s">
        <v>647</v>
      </c>
      <c r="C55" s="987"/>
      <c r="D55" s="986"/>
      <c r="E55" s="987"/>
      <c r="F55" s="987"/>
      <c r="G55" s="987"/>
      <c r="H55" s="987"/>
      <c r="I55" s="987"/>
      <c r="J55" s="987"/>
      <c r="K55" s="987"/>
      <c r="L55" s="988"/>
      <c r="M55" s="988"/>
      <c r="N55" s="988"/>
      <c r="O55" s="988"/>
      <c r="P55" s="987"/>
      <c r="Q55" s="987"/>
      <c r="R55" s="987"/>
      <c r="S55" s="987"/>
      <c r="T55" s="987"/>
      <c r="U55" s="987"/>
      <c r="V55" s="987"/>
      <c r="W55" s="987"/>
      <c r="X55" s="987"/>
      <c r="Y55" s="987"/>
      <c r="Z55" s="987"/>
      <c r="AA55" s="1306">
        <f t="shared" si="0"/>
        <v>0</v>
      </c>
      <c r="AB55" s="987"/>
      <c r="AC55" s="987"/>
      <c r="AD55" s="1036"/>
      <c r="AE55" s="987"/>
      <c r="AF55" s="989">
        <f t="shared" ref="AF55:AF76" si="3">(C55*C$6+D55*D$6+E55*E$6+F55*F$6+G55*G$6+H55*H$6+I55*I$6+J55*J$6+K55*K$6+L55*L$6+M55*M$6+N55*N$6+O55*O$6+P55*P$6+Q55*Q$6+R55*R$6+S55*S$6+T55*T$6+U55*U$6+V55*V$6+W55*W$6+X55*X$6+Y55*Y$6+Z55*Z$6)</f>
        <v>0</v>
      </c>
    </row>
    <row r="56" spans="1:32" s="285" customFormat="1" ht="15">
      <c r="A56" s="1041" t="s">
        <v>620</v>
      </c>
      <c r="B56" s="1311" t="s">
        <v>594</v>
      </c>
      <c r="C56" s="987"/>
      <c r="D56" s="986"/>
      <c r="E56" s="987"/>
      <c r="F56" s="987"/>
      <c r="G56" s="987"/>
      <c r="H56" s="987"/>
      <c r="I56" s="987"/>
      <c r="J56" s="987"/>
      <c r="K56" s="987"/>
      <c r="L56" s="988"/>
      <c r="M56" s="988"/>
      <c r="N56" s="988"/>
      <c r="O56" s="988"/>
      <c r="P56" s="987"/>
      <c r="Q56" s="987"/>
      <c r="R56" s="987"/>
      <c r="S56" s="987"/>
      <c r="T56" s="987"/>
      <c r="U56" s="987">
        <v>1</v>
      </c>
      <c r="V56" s="987"/>
      <c r="W56" s="987"/>
      <c r="X56" s="987"/>
      <c r="Y56" s="987"/>
      <c r="Z56" s="987"/>
      <c r="AA56" s="1306">
        <f t="shared" si="0"/>
        <v>1</v>
      </c>
      <c r="AB56" s="987" t="s">
        <v>53</v>
      </c>
      <c r="AC56" s="1305" t="s">
        <v>106</v>
      </c>
      <c r="AD56" s="1036" t="s">
        <v>32</v>
      </c>
      <c r="AE56" s="987">
        <v>0.05</v>
      </c>
      <c r="AF56" s="989">
        <f>(C56*C$6+D56*D$6+E56*E$6+F56*F$6+G56*G$6+H56*H$6+I56*I$6+J56*J$6+K56*K$6+L56*L$6+M56*M$6+N56*N$6+O56*O$6+P56*P$6+Q56*Q$6+R56*R$6+S56*S$6+T56*T$6+U56*U$6+V56*V$6+W56*W$6+X56*X$6+Y56*Y$6+Z56*Z$6)</f>
        <v>333450</v>
      </c>
    </row>
    <row r="57" spans="1:32" s="285" customFormat="1" ht="15">
      <c r="A57" s="1297" t="s">
        <v>621</v>
      </c>
      <c r="B57" s="1304" t="s">
        <v>595</v>
      </c>
      <c r="C57" s="1046"/>
      <c r="D57" s="1045"/>
      <c r="E57" s="1046"/>
      <c r="F57" s="1046"/>
      <c r="G57" s="1046"/>
      <c r="H57" s="1046"/>
      <c r="I57" s="1046"/>
      <c r="J57" s="1046"/>
      <c r="K57" s="1046"/>
      <c r="L57" s="1047"/>
      <c r="M57" s="1047"/>
      <c r="N57" s="1047"/>
      <c r="O57" s="1047"/>
      <c r="P57" s="1046"/>
      <c r="Q57" s="1046"/>
      <c r="R57" s="1046"/>
      <c r="S57" s="1046"/>
      <c r="T57" s="1046"/>
      <c r="U57" s="1046">
        <v>1</v>
      </c>
      <c r="V57" s="1046"/>
      <c r="W57" s="1046"/>
      <c r="X57" s="1046"/>
      <c r="Y57" s="1046"/>
      <c r="Z57" s="1046"/>
      <c r="AA57" s="1309">
        <f t="shared" si="0"/>
        <v>1</v>
      </c>
      <c r="AB57" s="1046" t="s">
        <v>53</v>
      </c>
      <c r="AC57" s="1305" t="s">
        <v>106</v>
      </c>
      <c r="AD57" s="1044" t="s">
        <v>32</v>
      </c>
      <c r="AE57" s="1046">
        <v>0.06</v>
      </c>
      <c r="AF57" s="1050">
        <f t="shared" si="3"/>
        <v>333450</v>
      </c>
    </row>
    <row r="58" spans="1:32" s="285" customFormat="1" ht="25.5">
      <c r="A58" s="1046">
        <v>19</v>
      </c>
      <c r="B58" s="1304" t="s">
        <v>648</v>
      </c>
      <c r="C58" s="1046"/>
      <c r="D58" s="1045"/>
      <c r="E58" s="1046"/>
      <c r="F58" s="1046"/>
      <c r="G58" s="1046"/>
      <c r="H58" s="1046"/>
      <c r="I58" s="1046"/>
      <c r="J58" s="1046"/>
      <c r="K58" s="1046"/>
      <c r="L58" s="1047"/>
      <c r="M58" s="1047"/>
      <c r="N58" s="1047"/>
      <c r="O58" s="1047"/>
      <c r="P58" s="1046"/>
      <c r="Q58" s="1046"/>
      <c r="R58" s="1046"/>
      <c r="S58" s="1046"/>
      <c r="T58" s="1046"/>
      <c r="U58" s="1046"/>
      <c r="V58" s="1046"/>
      <c r="W58" s="1046"/>
      <c r="X58" s="1046"/>
      <c r="Y58" s="1046"/>
      <c r="Z58" s="1046"/>
      <c r="AA58" s="1309">
        <f t="shared" si="0"/>
        <v>0</v>
      </c>
      <c r="AB58" s="1046"/>
      <c r="AC58" s="1046"/>
      <c r="AD58" s="1044"/>
      <c r="AE58" s="1046"/>
      <c r="AF58" s="1050"/>
    </row>
    <row r="59" spans="1:32" s="285" customFormat="1" ht="15">
      <c r="A59" s="1046">
        <v>19.100000000000001</v>
      </c>
      <c r="B59" s="1045" t="s">
        <v>595</v>
      </c>
      <c r="C59" s="1046"/>
      <c r="D59" s="1045"/>
      <c r="E59" s="1046"/>
      <c r="F59" s="1046"/>
      <c r="G59" s="1046"/>
      <c r="H59" s="1046"/>
      <c r="I59" s="1046"/>
      <c r="J59" s="1046"/>
      <c r="K59" s="1046"/>
      <c r="L59" s="1047"/>
      <c r="M59" s="1047"/>
      <c r="N59" s="1047"/>
      <c r="O59" s="1047"/>
      <c r="P59" s="1046"/>
      <c r="Q59" s="1046"/>
      <c r="R59" s="1046"/>
      <c r="S59" s="1046"/>
      <c r="T59" s="1046">
        <v>1</v>
      </c>
      <c r="U59" s="1046"/>
      <c r="V59" s="1046"/>
      <c r="W59" s="1046"/>
      <c r="X59" s="1046"/>
      <c r="Y59" s="1046"/>
      <c r="Z59" s="1046"/>
      <c r="AA59" s="1309">
        <f t="shared" si="0"/>
        <v>1</v>
      </c>
      <c r="AB59" s="1046" t="s">
        <v>53</v>
      </c>
      <c r="AC59" s="1046" t="s">
        <v>69</v>
      </c>
      <c r="AD59" s="1044" t="s">
        <v>32</v>
      </c>
      <c r="AE59" s="1046">
        <v>0.06</v>
      </c>
      <c r="AF59" s="1050">
        <f t="shared" si="3"/>
        <v>296770.5</v>
      </c>
    </row>
    <row r="60" spans="1:32" s="285" customFormat="1" ht="15">
      <c r="A60" s="1046">
        <v>19.2</v>
      </c>
      <c r="B60" s="1045" t="s">
        <v>594</v>
      </c>
      <c r="C60" s="1046"/>
      <c r="D60" s="1045"/>
      <c r="E60" s="1046"/>
      <c r="F60" s="1046"/>
      <c r="G60" s="1046"/>
      <c r="H60" s="1046"/>
      <c r="I60" s="1046"/>
      <c r="J60" s="1046"/>
      <c r="K60" s="1046"/>
      <c r="L60" s="1047"/>
      <c r="M60" s="1047"/>
      <c r="N60" s="1047"/>
      <c r="O60" s="1047"/>
      <c r="P60" s="1046"/>
      <c r="Q60" s="1046"/>
      <c r="R60" s="1046"/>
      <c r="S60" s="1046"/>
      <c r="T60" s="1046">
        <v>1</v>
      </c>
      <c r="U60" s="1046"/>
      <c r="V60" s="1046"/>
      <c r="W60" s="1046"/>
      <c r="X60" s="1046"/>
      <c r="Y60" s="1046"/>
      <c r="Z60" s="1046"/>
      <c r="AA60" s="1309">
        <f t="shared" si="0"/>
        <v>1</v>
      </c>
      <c r="AB60" s="1046" t="s">
        <v>53</v>
      </c>
      <c r="AC60" s="1046" t="s">
        <v>69</v>
      </c>
      <c r="AD60" s="1044" t="s">
        <v>32</v>
      </c>
      <c r="AE60" s="1046">
        <v>0.05</v>
      </c>
      <c r="AF60" s="1050">
        <f t="shared" si="3"/>
        <v>296770.5</v>
      </c>
    </row>
    <row r="61" spans="1:32" s="287" customFormat="1" ht="25.5">
      <c r="A61" s="1044" t="s">
        <v>300</v>
      </c>
      <c r="B61" s="1045" t="s">
        <v>619</v>
      </c>
      <c r="C61" s="1046"/>
      <c r="D61" s="1045"/>
      <c r="E61" s="1046"/>
      <c r="F61" s="1046"/>
      <c r="G61" s="1046"/>
      <c r="H61" s="1046"/>
      <c r="I61" s="1046"/>
      <c r="J61" s="1046"/>
      <c r="K61" s="1046"/>
      <c r="L61" s="1047"/>
      <c r="M61" s="1047"/>
      <c r="N61" s="1047"/>
      <c r="O61" s="1047"/>
      <c r="P61" s="1046"/>
      <c r="Q61" s="1046"/>
      <c r="R61" s="1046"/>
      <c r="S61" s="1046"/>
      <c r="T61" s="1046"/>
      <c r="U61" s="1046">
        <v>1</v>
      </c>
      <c r="V61" s="1046"/>
      <c r="W61" s="1046"/>
      <c r="X61" s="1046"/>
      <c r="Y61" s="1046"/>
      <c r="Z61" s="1046"/>
      <c r="AA61" s="1309">
        <f t="shared" si="0"/>
        <v>1</v>
      </c>
      <c r="AB61" s="1046" t="s">
        <v>1</v>
      </c>
      <c r="AC61" s="1305" t="s">
        <v>106</v>
      </c>
      <c r="AD61" s="1044" t="s">
        <v>32</v>
      </c>
      <c r="AE61" s="1046">
        <v>0.03</v>
      </c>
      <c r="AF61" s="1050">
        <f t="shared" si="3"/>
        <v>333450</v>
      </c>
    </row>
    <row r="62" spans="1:32" s="287" customFormat="1" ht="17.25" customHeight="1">
      <c r="A62" s="1044" t="s">
        <v>302</v>
      </c>
      <c r="B62" s="1045" t="s">
        <v>178</v>
      </c>
      <c r="C62" s="1046"/>
      <c r="D62" s="1045"/>
      <c r="E62" s="1046"/>
      <c r="F62" s="1046"/>
      <c r="G62" s="1046"/>
      <c r="H62" s="1046"/>
      <c r="I62" s="1046"/>
      <c r="J62" s="1046"/>
      <c r="K62" s="1046"/>
      <c r="L62" s="1047"/>
      <c r="M62" s="1047"/>
      <c r="N62" s="1047"/>
      <c r="O62" s="1047"/>
      <c r="P62" s="1046"/>
      <c r="Q62" s="1046"/>
      <c r="R62" s="1046"/>
      <c r="S62" s="1046"/>
      <c r="T62" s="1046"/>
      <c r="U62" s="1046">
        <v>1</v>
      </c>
      <c r="V62" s="1046"/>
      <c r="W62" s="1046"/>
      <c r="X62" s="1046"/>
      <c r="Y62" s="1046"/>
      <c r="Z62" s="1046"/>
      <c r="AA62" s="1309">
        <f t="shared" si="0"/>
        <v>1</v>
      </c>
      <c r="AB62" s="1046" t="s">
        <v>53</v>
      </c>
      <c r="AC62" s="1046" t="s">
        <v>106</v>
      </c>
      <c r="AD62" s="1044" t="s">
        <v>32</v>
      </c>
      <c r="AE62" s="1046">
        <v>0.2</v>
      </c>
      <c r="AF62" s="1050">
        <f t="shared" si="3"/>
        <v>333450</v>
      </c>
    </row>
    <row r="63" spans="1:32" s="287" customFormat="1" ht="17.25" customHeight="1">
      <c r="A63" s="1044" t="s">
        <v>304</v>
      </c>
      <c r="B63" s="1045" t="s">
        <v>179</v>
      </c>
      <c r="C63" s="1046"/>
      <c r="D63" s="1045"/>
      <c r="E63" s="1046"/>
      <c r="F63" s="1046"/>
      <c r="G63" s="1046"/>
      <c r="H63" s="1046"/>
      <c r="I63" s="1046"/>
      <c r="J63" s="1046"/>
      <c r="K63" s="1046"/>
      <c r="L63" s="1047"/>
      <c r="M63" s="1047"/>
      <c r="N63" s="1047"/>
      <c r="O63" s="1047"/>
      <c r="P63" s="1046"/>
      <c r="Q63" s="1046"/>
      <c r="R63" s="1046"/>
      <c r="S63" s="1046"/>
      <c r="T63" s="1046"/>
      <c r="U63" s="1046"/>
      <c r="V63" s="1046"/>
      <c r="W63" s="1046"/>
      <c r="X63" s="1046"/>
      <c r="Y63" s="1046"/>
      <c r="Z63" s="1046"/>
      <c r="AA63" s="1309">
        <f t="shared" si="0"/>
        <v>0</v>
      </c>
      <c r="AB63" s="1046"/>
      <c r="AC63" s="1046"/>
      <c r="AD63" s="1044"/>
      <c r="AE63" s="1046"/>
      <c r="AF63" s="1050">
        <f t="shared" si="3"/>
        <v>0</v>
      </c>
    </row>
    <row r="64" spans="1:32" s="285" customFormat="1" ht="17.25" customHeight="1">
      <c r="A64" s="1297" t="s">
        <v>632</v>
      </c>
      <c r="B64" s="1295" t="s">
        <v>181</v>
      </c>
      <c r="C64" s="1046"/>
      <c r="D64" s="1045"/>
      <c r="E64" s="1046"/>
      <c r="F64" s="1046"/>
      <c r="G64" s="1046"/>
      <c r="H64" s="1046"/>
      <c r="I64" s="1046"/>
      <c r="J64" s="1046"/>
      <c r="K64" s="1046"/>
      <c r="L64" s="1047"/>
      <c r="M64" s="1047"/>
      <c r="N64" s="1047"/>
      <c r="O64" s="1047"/>
      <c r="P64" s="1046"/>
      <c r="Q64" s="1046"/>
      <c r="R64" s="1046"/>
      <c r="S64" s="1046"/>
      <c r="T64" s="1046">
        <v>1</v>
      </c>
      <c r="U64" s="1046"/>
      <c r="V64" s="1046"/>
      <c r="W64" s="1046"/>
      <c r="X64" s="1046"/>
      <c r="Y64" s="1046"/>
      <c r="Z64" s="1046"/>
      <c r="AA64" s="1309">
        <f t="shared" si="0"/>
        <v>1</v>
      </c>
      <c r="AB64" s="1046" t="s">
        <v>145</v>
      </c>
      <c r="AC64" s="1046" t="s">
        <v>69</v>
      </c>
      <c r="AD64" s="1044" t="s">
        <v>32</v>
      </c>
      <c r="AE64" s="1046">
        <v>0.05</v>
      </c>
      <c r="AF64" s="1050">
        <f t="shared" si="3"/>
        <v>296770.5</v>
      </c>
    </row>
    <row r="65" spans="1:32" s="285" customFormat="1" ht="17.25" customHeight="1">
      <c r="A65" s="1297" t="s">
        <v>633</v>
      </c>
      <c r="B65" s="1295" t="s">
        <v>182</v>
      </c>
      <c r="C65" s="1046"/>
      <c r="D65" s="1045"/>
      <c r="E65" s="1046"/>
      <c r="F65" s="1046"/>
      <c r="G65" s="1046"/>
      <c r="H65" s="1046"/>
      <c r="I65" s="1046"/>
      <c r="J65" s="1046"/>
      <c r="K65" s="1046"/>
      <c r="L65" s="1047"/>
      <c r="M65" s="1047"/>
      <c r="N65" s="1047"/>
      <c r="O65" s="1047"/>
      <c r="P65" s="1046"/>
      <c r="Q65" s="1046"/>
      <c r="R65" s="1046"/>
      <c r="S65" s="1046"/>
      <c r="T65" s="1046">
        <v>1</v>
      </c>
      <c r="U65" s="1046"/>
      <c r="V65" s="1046"/>
      <c r="W65" s="1046"/>
      <c r="X65" s="1046"/>
      <c r="Y65" s="1046"/>
      <c r="Z65" s="1046"/>
      <c r="AA65" s="1309">
        <f t="shared" si="0"/>
        <v>1</v>
      </c>
      <c r="AB65" s="1046" t="s">
        <v>145</v>
      </c>
      <c r="AC65" s="1046" t="s">
        <v>69</v>
      </c>
      <c r="AD65" s="1044" t="s">
        <v>32</v>
      </c>
      <c r="AE65" s="1046">
        <v>0.1</v>
      </c>
      <c r="AF65" s="1050">
        <f t="shared" si="3"/>
        <v>296770.5</v>
      </c>
    </row>
    <row r="66" spans="1:32" s="287" customFormat="1" ht="15">
      <c r="A66" s="1036" t="s">
        <v>306</v>
      </c>
      <c r="B66" s="986" t="s">
        <v>649</v>
      </c>
      <c r="C66" s="987"/>
      <c r="D66" s="986"/>
      <c r="E66" s="987"/>
      <c r="F66" s="987"/>
      <c r="G66" s="987"/>
      <c r="H66" s="987"/>
      <c r="I66" s="987"/>
      <c r="J66" s="987"/>
      <c r="K66" s="987"/>
      <c r="L66" s="988"/>
      <c r="M66" s="988"/>
      <c r="N66" s="988"/>
      <c r="O66" s="988"/>
      <c r="P66" s="987"/>
      <c r="Q66" s="987"/>
      <c r="R66" s="987"/>
      <c r="S66" s="987"/>
      <c r="T66" s="987"/>
      <c r="U66" s="987">
        <v>1</v>
      </c>
      <c r="V66" s="987"/>
      <c r="W66" s="987"/>
      <c r="X66" s="987"/>
      <c r="Y66" s="987"/>
      <c r="Z66" s="987"/>
      <c r="AA66" s="1306">
        <f t="shared" si="0"/>
        <v>1</v>
      </c>
      <c r="AB66" s="987" t="s">
        <v>53</v>
      </c>
      <c r="AC66" s="1305" t="s">
        <v>106</v>
      </c>
      <c r="AD66" s="1036" t="s">
        <v>32</v>
      </c>
      <c r="AE66" s="987">
        <v>0.05</v>
      </c>
      <c r="AF66" s="989">
        <f t="shared" si="3"/>
        <v>333450</v>
      </c>
    </row>
    <row r="67" spans="1:32" s="287" customFormat="1" ht="25.5">
      <c r="A67" s="1036" t="s">
        <v>308</v>
      </c>
      <c r="B67" s="986" t="s">
        <v>650</v>
      </c>
      <c r="C67" s="987"/>
      <c r="D67" s="986"/>
      <c r="E67" s="987"/>
      <c r="F67" s="987"/>
      <c r="G67" s="987"/>
      <c r="H67" s="987"/>
      <c r="I67" s="987"/>
      <c r="J67" s="987"/>
      <c r="K67" s="987"/>
      <c r="L67" s="988"/>
      <c r="M67" s="988"/>
      <c r="N67" s="988"/>
      <c r="O67" s="988"/>
      <c r="P67" s="987"/>
      <c r="Q67" s="987"/>
      <c r="R67" s="987"/>
      <c r="S67" s="987"/>
      <c r="T67" s="987"/>
      <c r="U67" s="987">
        <v>1</v>
      </c>
      <c r="V67" s="987"/>
      <c r="W67" s="987"/>
      <c r="X67" s="987"/>
      <c r="Y67" s="987"/>
      <c r="Z67" s="987"/>
      <c r="AA67" s="1306">
        <f t="shared" si="0"/>
        <v>1</v>
      </c>
      <c r="AB67" s="987" t="s">
        <v>1</v>
      </c>
      <c r="AC67" s="1305" t="s">
        <v>106</v>
      </c>
      <c r="AD67" s="1036" t="s">
        <v>32</v>
      </c>
      <c r="AE67" s="987">
        <v>3.3000000000000002E-2</v>
      </c>
      <c r="AF67" s="989">
        <f t="shared" si="3"/>
        <v>333450</v>
      </c>
    </row>
    <row r="68" spans="1:32" s="287" customFormat="1" ht="15">
      <c r="A68" s="1036" t="s">
        <v>310</v>
      </c>
      <c r="B68" s="986" t="s">
        <v>188</v>
      </c>
      <c r="C68" s="987"/>
      <c r="D68" s="986"/>
      <c r="E68" s="987"/>
      <c r="F68" s="987"/>
      <c r="G68" s="987"/>
      <c r="H68" s="987"/>
      <c r="I68" s="987"/>
      <c r="J68" s="987"/>
      <c r="K68" s="987"/>
      <c r="L68" s="988"/>
      <c r="M68" s="988"/>
      <c r="N68" s="988"/>
      <c r="O68" s="988"/>
      <c r="P68" s="987"/>
      <c r="Q68" s="987"/>
      <c r="R68" s="987"/>
      <c r="S68" s="987"/>
      <c r="T68" s="987"/>
      <c r="U68" s="987"/>
      <c r="V68" s="987"/>
      <c r="W68" s="987"/>
      <c r="X68" s="987"/>
      <c r="Y68" s="987"/>
      <c r="Z68" s="987"/>
      <c r="AA68" s="1306">
        <f t="shared" si="0"/>
        <v>0</v>
      </c>
      <c r="AB68" s="987"/>
      <c r="AC68" s="987"/>
      <c r="AD68" s="1036"/>
      <c r="AE68" s="987"/>
      <c r="AF68" s="989">
        <f t="shared" si="3"/>
        <v>0</v>
      </c>
    </row>
    <row r="69" spans="1:32" s="285" customFormat="1" ht="25.5">
      <c r="A69" s="1041" t="s">
        <v>651</v>
      </c>
      <c r="B69" s="986" t="s">
        <v>189</v>
      </c>
      <c r="C69" s="987"/>
      <c r="D69" s="986"/>
      <c r="E69" s="987"/>
      <c r="F69" s="987"/>
      <c r="G69" s="987"/>
      <c r="H69" s="987"/>
      <c r="I69" s="987"/>
      <c r="J69" s="987"/>
      <c r="K69" s="987"/>
      <c r="L69" s="988"/>
      <c r="M69" s="988"/>
      <c r="N69" s="988"/>
      <c r="O69" s="988"/>
      <c r="P69" s="987"/>
      <c r="Q69" s="987"/>
      <c r="R69" s="987"/>
      <c r="S69" s="987"/>
      <c r="T69" s="987"/>
      <c r="U69" s="987"/>
      <c r="V69" s="987"/>
      <c r="W69" s="987"/>
      <c r="X69" s="987"/>
      <c r="Y69" s="987"/>
      <c r="Z69" s="987"/>
      <c r="AA69" s="1306">
        <f t="shared" si="0"/>
        <v>0</v>
      </c>
      <c r="AB69" s="987"/>
      <c r="AC69" s="987"/>
      <c r="AD69" s="987"/>
      <c r="AE69" s="986"/>
      <c r="AF69" s="989">
        <f t="shared" si="3"/>
        <v>0</v>
      </c>
    </row>
    <row r="70" spans="1:32" s="285" customFormat="1" ht="15" customHeight="1">
      <c r="A70" s="1041" t="s">
        <v>652</v>
      </c>
      <c r="B70" s="1039" t="s">
        <v>190</v>
      </c>
      <c r="C70" s="987"/>
      <c r="D70" s="986"/>
      <c r="E70" s="987"/>
      <c r="F70" s="987"/>
      <c r="G70" s="987"/>
      <c r="H70" s="987"/>
      <c r="I70" s="987"/>
      <c r="J70" s="987"/>
      <c r="K70" s="987"/>
      <c r="L70" s="988"/>
      <c r="M70" s="988"/>
      <c r="N70" s="988"/>
      <c r="O70" s="988"/>
      <c r="P70" s="987"/>
      <c r="Q70" s="987"/>
      <c r="R70" s="987"/>
      <c r="S70" s="987">
        <v>1</v>
      </c>
      <c r="T70" s="987"/>
      <c r="U70" s="987"/>
      <c r="V70" s="987"/>
      <c r="W70" s="987"/>
      <c r="X70" s="987"/>
      <c r="Y70" s="987"/>
      <c r="Z70" s="987"/>
      <c r="AA70" s="1306">
        <f t="shared" si="0"/>
        <v>1</v>
      </c>
      <c r="AB70" s="987" t="s">
        <v>551</v>
      </c>
      <c r="AC70" s="987" t="s">
        <v>68</v>
      </c>
      <c r="AD70" s="1036" t="s">
        <v>32</v>
      </c>
      <c r="AE70" s="987">
        <v>1.6E-2</v>
      </c>
      <c r="AF70" s="989">
        <f t="shared" si="3"/>
        <v>260091</v>
      </c>
    </row>
    <row r="71" spans="1:32" s="285" customFormat="1" ht="15" customHeight="1">
      <c r="A71" s="1041" t="s">
        <v>653</v>
      </c>
      <c r="B71" s="1303" t="s">
        <v>191</v>
      </c>
      <c r="C71" s="987"/>
      <c r="D71" s="986"/>
      <c r="E71" s="987"/>
      <c r="F71" s="987"/>
      <c r="G71" s="987"/>
      <c r="H71" s="987"/>
      <c r="I71" s="987"/>
      <c r="J71" s="987"/>
      <c r="K71" s="987"/>
      <c r="L71" s="988"/>
      <c r="M71" s="988"/>
      <c r="N71" s="988"/>
      <c r="O71" s="988"/>
      <c r="P71" s="987"/>
      <c r="Q71" s="987"/>
      <c r="R71" s="987"/>
      <c r="S71" s="987">
        <v>1</v>
      </c>
      <c r="T71" s="987"/>
      <c r="U71" s="987"/>
      <c r="V71" s="987"/>
      <c r="W71" s="987"/>
      <c r="X71" s="987"/>
      <c r="Y71" s="987"/>
      <c r="Z71" s="987"/>
      <c r="AA71" s="1306">
        <f t="shared" si="0"/>
        <v>1</v>
      </c>
      <c r="AB71" s="987" t="s">
        <v>551</v>
      </c>
      <c r="AC71" s="987" t="s">
        <v>68</v>
      </c>
      <c r="AD71" s="1036" t="s">
        <v>32</v>
      </c>
      <c r="AE71" s="987">
        <v>8.0000000000000002E-3</v>
      </c>
      <c r="AF71" s="989">
        <f t="shared" si="3"/>
        <v>260091</v>
      </c>
    </row>
    <row r="72" spans="1:32" s="285" customFormat="1" ht="38.25">
      <c r="A72" s="1036" t="s">
        <v>312</v>
      </c>
      <c r="B72" s="986" t="s">
        <v>192</v>
      </c>
      <c r="C72" s="987"/>
      <c r="D72" s="986"/>
      <c r="E72" s="987"/>
      <c r="F72" s="987"/>
      <c r="G72" s="987"/>
      <c r="H72" s="987"/>
      <c r="I72" s="987"/>
      <c r="J72" s="987"/>
      <c r="K72" s="987"/>
      <c r="L72" s="988"/>
      <c r="M72" s="988"/>
      <c r="N72" s="988"/>
      <c r="O72" s="988"/>
      <c r="P72" s="987"/>
      <c r="Q72" s="987"/>
      <c r="R72" s="987"/>
      <c r="S72" s="987">
        <v>1</v>
      </c>
      <c r="T72" s="987"/>
      <c r="U72" s="987"/>
      <c r="V72" s="987"/>
      <c r="W72" s="987"/>
      <c r="X72" s="987"/>
      <c r="Y72" s="987"/>
      <c r="Z72" s="987"/>
      <c r="AA72" s="1306">
        <f t="shared" si="0"/>
        <v>1</v>
      </c>
      <c r="AB72" s="987" t="s">
        <v>551</v>
      </c>
      <c r="AC72" s="987" t="s">
        <v>68</v>
      </c>
      <c r="AD72" s="1036" t="s">
        <v>32</v>
      </c>
      <c r="AE72" s="987">
        <v>4.0000000000000001E-3</v>
      </c>
      <c r="AF72" s="989">
        <f t="shared" si="3"/>
        <v>260091</v>
      </c>
    </row>
    <row r="73" spans="1:32" s="285" customFormat="1" ht="30" customHeight="1">
      <c r="A73" s="1036" t="s">
        <v>314</v>
      </c>
      <c r="B73" s="986" t="s">
        <v>193</v>
      </c>
      <c r="C73" s="987"/>
      <c r="D73" s="986"/>
      <c r="E73" s="987"/>
      <c r="F73" s="987"/>
      <c r="G73" s="987"/>
      <c r="H73" s="987"/>
      <c r="I73" s="987"/>
      <c r="J73" s="987"/>
      <c r="K73" s="987"/>
      <c r="L73" s="988"/>
      <c r="M73" s="988"/>
      <c r="N73" s="988"/>
      <c r="O73" s="988"/>
      <c r="P73" s="987"/>
      <c r="Q73" s="987"/>
      <c r="R73" s="987"/>
      <c r="S73" s="987">
        <v>1</v>
      </c>
      <c r="T73" s="987"/>
      <c r="U73" s="987"/>
      <c r="V73" s="987"/>
      <c r="W73" s="987"/>
      <c r="X73" s="987"/>
      <c r="Y73" s="987"/>
      <c r="Z73" s="987"/>
      <c r="AA73" s="1306">
        <f t="shared" si="0"/>
        <v>1</v>
      </c>
      <c r="AB73" s="987" t="s">
        <v>1</v>
      </c>
      <c r="AC73" s="987" t="s">
        <v>68</v>
      </c>
      <c r="AD73" s="1036" t="s">
        <v>32</v>
      </c>
      <c r="AE73" s="987">
        <v>0.01</v>
      </c>
      <c r="AF73" s="989">
        <f t="shared" si="3"/>
        <v>260091</v>
      </c>
    </row>
    <row r="74" spans="1:32" s="285" customFormat="1" ht="51">
      <c r="A74" s="1036" t="s">
        <v>316</v>
      </c>
      <c r="B74" s="986" t="s">
        <v>654</v>
      </c>
      <c r="C74" s="987"/>
      <c r="D74" s="986"/>
      <c r="E74" s="987"/>
      <c r="F74" s="987"/>
      <c r="G74" s="987"/>
      <c r="H74" s="987"/>
      <c r="I74" s="987"/>
      <c r="J74" s="987"/>
      <c r="K74" s="987"/>
      <c r="L74" s="988"/>
      <c r="M74" s="988"/>
      <c r="N74" s="988"/>
      <c r="O74" s="988"/>
      <c r="P74" s="987"/>
      <c r="Q74" s="987"/>
      <c r="R74" s="987"/>
      <c r="S74" s="987"/>
      <c r="T74" s="987">
        <v>1</v>
      </c>
      <c r="U74" s="987"/>
      <c r="V74" s="987"/>
      <c r="W74" s="987"/>
      <c r="X74" s="987"/>
      <c r="Y74" s="987"/>
      <c r="Z74" s="987"/>
      <c r="AA74" s="1306">
        <f t="shared" si="0"/>
        <v>1</v>
      </c>
      <c r="AB74" s="987" t="s">
        <v>53</v>
      </c>
      <c r="AC74" s="987" t="s">
        <v>69</v>
      </c>
      <c r="AD74" s="1036" t="s">
        <v>32</v>
      </c>
      <c r="AE74" s="987">
        <v>0.05</v>
      </c>
      <c r="AF74" s="989">
        <f t="shared" si="3"/>
        <v>296770.5</v>
      </c>
    </row>
    <row r="75" spans="1:32" s="285" customFormat="1" ht="38.25">
      <c r="A75" s="1036" t="s">
        <v>318</v>
      </c>
      <c r="B75" s="986" t="s">
        <v>655</v>
      </c>
      <c r="C75" s="987"/>
      <c r="D75" s="986"/>
      <c r="E75" s="987"/>
      <c r="F75" s="987"/>
      <c r="G75" s="987"/>
      <c r="H75" s="987"/>
      <c r="I75" s="987"/>
      <c r="J75" s="987"/>
      <c r="K75" s="987"/>
      <c r="L75" s="988"/>
      <c r="M75" s="988"/>
      <c r="N75" s="988"/>
      <c r="O75" s="988"/>
      <c r="P75" s="987"/>
      <c r="Q75" s="987"/>
      <c r="R75" s="987"/>
      <c r="S75" s="987"/>
      <c r="T75" s="987">
        <v>1</v>
      </c>
      <c r="U75" s="987"/>
      <c r="V75" s="987"/>
      <c r="W75" s="987"/>
      <c r="X75" s="987"/>
      <c r="Y75" s="987"/>
      <c r="Z75" s="987"/>
      <c r="AA75" s="1306">
        <f t="shared" si="0"/>
        <v>1</v>
      </c>
      <c r="AB75" s="987" t="s">
        <v>53</v>
      </c>
      <c r="AC75" s="987" t="s">
        <v>69</v>
      </c>
      <c r="AD75" s="1036" t="s">
        <v>32</v>
      </c>
      <c r="AE75" s="987">
        <v>0.05</v>
      </c>
      <c r="AF75" s="989">
        <f t="shared" si="3"/>
        <v>296770.5</v>
      </c>
    </row>
    <row r="76" spans="1:32" s="287" customFormat="1" ht="38.25">
      <c r="A76" s="1036" t="s">
        <v>635</v>
      </c>
      <c r="B76" s="986" t="s">
        <v>656</v>
      </c>
      <c r="C76" s="987"/>
      <c r="D76" s="986"/>
      <c r="E76" s="987"/>
      <c r="F76" s="987"/>
      <c r="G76" s="987"/>
      <c r="H76" s="987"/>
      <c r="I76" s="987"/>
      <c r="J76" s="987"/>
      <c r="K76" s="987"/>
      <c r="L76" s="988"/>
      <c r="M76" s="988"/>
      <c r="N76" s="988"/>
      <c r="O76" s="988"/>
      <c r="P76" s="987"/>
      <c r="Q76" s="987"/>
      <c r="R76" s="987"/>
      <c r="S76" s="987"/>
      <c r="T76" s="987">
        <v>1</v>
      </c>
      <c r="U76" s="987"/>
      <c r="V76" s="987"/>
      <c r="W76" s="987"/>
      <c r="X76" s="987"/>
      <c r="Y76" s="987"/>
      <c r="Z76" s="987"/>
      <c r="AA76" s="1306">
        <f t="shared" si="0"/>
        <v>1</v>
      </c>
      <c r="AB76" s="987" t="s">
        <v>963</v>
      </c>
      <c r="AC76" s="987" t="s">
        <v>69</v>
      </c>
      <c r="AD76" s="1036" t="s">
        <v>32</v>
      </c>
      <c r="AE76" s="987">
        <v>32</v>
      </c>
      <c r="AF76" s="989">
        <f t="shared" si="3"/>
        <v>296770.5</v>
      </c>
    </row>
    <row r="77" spans="1:32" ht="18" customHeight="1">
      <c r="A77" s="938" t="s">
        <v>714</v>
      </c>
      <c r="B77" s="1390" t="s">
        <v>196</v>
      </c>
      <c r="C77" s="1390"/>
      <c r="D77" s="1390"/>
      <c r="E77" s="1390"/>
      <c r="F77" s="1390"/>
      <c r="G77" s="1390"/>
      <c r="H77" s="1390"/>
      <c r="I77" s="1390"/>
      <c r="J77" s="1390"/>
      <c r="K77" s="1390"/>
      <c r="L77" s="1390"/>
      <c r="M77" s="1390"/>
      <c r="N77" s="1390"/>
      <c r="O77" s="1390"/>
      <c r="P77" s="1390"/>
      <c r="Q77" s="1390"/>
      <c r="R77" s="1390"/>
      <c r="S77" s="1390"/>
      <c r="T77" s="1390"/>
      <c r="U77" s="1390"/>
      <c r="V77" s="1390"/>
      <c r="W77" s="1390"/>
      <c r="X77" s="1390"/>
      <c r="Y77" s="1390"/>
      <c r="Z77" s="1390"/>
      <c r="AA77" s="1390"/>
      <c r="AB77" s="1390"/>
      <c r="AC77" s="1390"/>
      <c r="AD77" s="1390"/>
      <c r="AE77" s="1390"/>
      <c r="AF77" s="165"/>
    </row>
    <row r="78" spans="1:32" s="287" customFormat="1" ht="15" customHeight="1">
      <c r="A78" s="1036" t="s">
        <v>33</v>
      </c>
      <c r="B78" s="1304" t="s">
        <v>197</v>
      </c>
      <c r="C78" s="987"/>
      <c r="D78" s="986"/>
      <c r="E78" s="987"/>
      <c r="F78" s="987"/>
      <c r="G78" s="987"/>
      <c r="H78" s="987"/>
      <c r="I78" s="987"/>
      <c r="J78" s="987"/>
      <c r="K78" s="987"/>
      <c r="L78" s="988"/>
      <c r="M78" s="988"/>
      <c r="N78" s="988"/>
      <c r="O78" s="988"/>
      <c r="P78" s="987"/>
      <c r="Q78" s="987"/>
      <c r="R78" s="987"/>
      <c r="S78" s="987"/>
      <c r="T78" s="987"/>
      <c r="U78" s="987"/>
      <c r="V78" s="987"/>
      <c r="W78" s="987"/>
      <c r="X78" s="987"/>
      <c r="Y78" s="987"/>
      <c r="Z78" s="987"/>
      <c r="AA78" s="987">
        <f t="shared" ref="AA78:AA84" si="4">SUM(C78:Z78)</f>
        <v>0</v>
      </c>
      <c r="AB78" s="987"/>
      <c r="AC78" s="987"/>
      <c r="AD78" s="1036"/>
      <c r="AE78" s="987"/>
      <c r="AF78" s="989">
        <f t="shared" ref="AF78:AF84" si="5">(C78*C$6+D78*D$6+E78*E$6+F78*F$6+G78*G$6+H78*H$6+I78*I$6+J78*J$6+K78*K$6+L78*L$6+M78*M$6+N78*N$6+O78*O$6+P78*P$6+Q78*Q$6+R78*R$6+S78*S$6+T78*T$6+U78*U$6+V78*V$6+W78*W$6+X78*X$6+Y78*Y$6+Z78*Z$6)</f>
        <v>0</v>
      </c>
    </row>
    <row r="79" spans="1:32" s="285" customFormat="1" ht="25.5">
      <c r="A79" s="1041" t="s">
        <v>134</v>
      </c>
      <c r="B79" s="1312" t="s">
        <v>198</v>
      </c>
      <c r="C79" s="987"/>
      <c r="D79" s="986"/>
      <c r="E79" s="987"/>
      <c r="F79" s="987"/>
      <c r="G79" s="987"/>
      <c r="H79" s="987"/>
      <c r="I79" s="987"/>
      <c r="J79" s="987"/>
      <c r="K79" s="987"/>
      <c r="L79" s="988"/>
      <c r="M79" s="988"/>
      <c r="N79" s="988"/>
      <c r="O79" s="988"/>
      <c r="P79" s="987"/>
      <c r="Q79" s="987"/>
      <c r="R79" s="987"/>
      <c r="S79" s="987"/>
      <c r="T79" s="987"/>
      <c r="U79" s="987"/>
      <c r="V79" s="987">
        <v>1</v>
      </c>
      <c r="W79" s="987"/>
      <c r="X79" s="987"/>
      <c r="Y79" s="987"/>
      <c r="Z79" s="987"/>
      <c r="AA79" s="987">
        <f t="shared" si="4"/>
        <v>1</v>
      </c>
      <c r="AB79" s="987" t="s">
        <v>146</v>
      </c>
      <c r="AC79" s="987" t="s">
        <v>71</v>
      </c>
      <c r="AD79" s="1036" t="s">
        <v>32</v>
      </c>
      <c r="AE79" s="987">
        <v>1200</v>
      </c>
      <c r="AF79" s="989">
        <f t="shared" si="5"/>
        <v>370129.5</v>
      </c>
    </row>
    <row r="80" spans="1:32" s="285" customFormat="1">
      <c r="A80" s="1041" t="s">
        <v>135</v>
      </c>
      <c r="B80" s="1312" t="s">
        <v>622</v>
      </c>
      <c r="C80" s="987"/>
      <c r="D80" s="986"/>
      <c r="E80" s="987"/>
      <c r="F80" s="987"/>
      <c r="G80" s="987"/>
      <c r="H80" s="987"/>
      <c r="I80" s="987"/>
      <c r="J80" s="987"/>
      <c r="K80" s="987"/>
      <c r="L80" s="988"/>
      <c r="M80" s="988"/>
      <c r="N80" s="988"/>
      <c r="O80" s="988"/>
      <c r="P80" s="987"/>
      <c r="Q80" s="987"/>
      <c r="R80" s="987"/>
      <c r="S80" s="987"/>
      <c r="T80" s="987"/>
      <c r="U80" s="987"/>
      <c r="V80" s="987">
        <v>1</v>
      </c>
      <c r="W80" s="987"/>
      <c r="X80" s="987"/>
      <c r="Y80" s="987"/>
      <c r="Z80" s="987"/>
      <c r="AA80" s="987">
        <f t="shared" si="4"/>
        <v>1</v>
      </c>
      <c r="AB80" s="987" t="s">
        <v>1</v>
      </c>
      <c r="AC80" s="987" t="s">
        <v>71</v>
      </c>
      <c r="AD80" s="1036" t="s">
        <v>32</v>
      </c>
      <c r="AE80" s="987">
        <v>0.01</v>
      </c>
      <c r="AF80" s="989">
        <f t="shared" si="5"/>
        <v>370129.5</v>
      </c>
    </row>
    <row r="81" spans="1:34" s="287" customFormat="1" ht="25.5">
      <c r="A81" s="1036" t="s">
        <v>34</v>
      </c>
      <c r="B81" s="1304" t="s">
        <v>623</v>
      </c>
      <c r="C81" s="987"/>
      <c r="D81" s="986"/>
      <c r="E81" s="987"/>
      <c r="F81" s="987"/>
      <c r="G81" s="987"/>
      <c r="H81" s="987"/>
      <c r="I81" s="987"/>
      <c r="J81" s="987"/>
      <c r="K81" s="987"/>
      <c r="L81" s="988"/>
      <c r="M81" s="988"/>
      <c r="N81" s="988"/>
      <c r="O81" s="988"/>
      <c r="P81" s="987"/>
      <c r="Q81" s="987"/>
      <c r="R81" s="987"/>
      <c r="S81" s="987"/>
      <c r="T81" s="987"/>
      <c r="U81" s="987"/>
      <c r="V81" s="987"/>
      <c r="W81" s="987"/>
      <c r="X81" s="987"/>
      <c r="Y81" s="987"/>
      <c r="Z81" s="987"/>
      <c r="AA81" s="987">
        <f t="shared" si="4"/>
        <v>0</v>
      </c>
      <c r="AB81" s="987"/>
      <c r="AC81" s="987"/>
      <c r="AD81" s="1036"/>
      <c r="AE81" s="987"/>
      <c r="AF81" s="989">
        <f t="shared" si="5"/>
        <v>0</v>
      </c>
    </row>
    <row r="82" spans="1:34" s="285" customFormat="1">
      <c r="A82" s="1041" t="s">
        <v>133</v>
      </c>
      <c r="B82" s="1312" t="s">
        <v>201</v>
      </c>
      <c r="C82" s="987"/>
      <c r="D82" s="986"/>
      <c r="E82" s="987"/>
      <c r="F82" s="987"/>
      <c r="G82" s="987"/>
      <c r="H82" s="987"/>
      <c r="I82" s="987"/>
      <c r="J82" s="987"/>
      <c r="K82" s="987"/>
      <c r="L82" s="988"/>
      <c r="M82" s="988"/>
      <c r="N82" s="988"/>
      <c r="O82" s="988"/>
      <c r="P82" s="987"/>
      <c r="Q82" s="987"/>
      <c r="R82" s="987"/>
      <c r="S82" s="987"/>
      <c r="T82" s="987"/>
      <c r="U82" s="987"/>
      <c r="V82" s="987">
        <v>1</v>
      </c>
      <c r="W82" s="987"/>
      <c r="X82" s="987"/>
      <c r="Y82" s="987"/>
      <c r="Z82" s="987"/>
      <c r="AA82" s="987">
        <f t="shared" si="4"/>
        <v>1</v>
      </c>
      <c r="AB82" s="987" t="s">
        <v>147</v>
      </c>
      <c r="AC82" s="987" t="s">
        <v>71</v>
      </c>
      <c r="AD82" s="1036" t="s">
        <v>32</v>
      </c>
      <c r="AE82" s="987">
        <v>2.5000000000000001E-2</v>
      </c>
      <c r="AF82" s="989">
        <f t="shared" si="5"/>
        <v>370129.5</v>
      </c>
    </row>
    <row r="83" spans="1:34" s="285" customFormat="1">
      <c r="A83" s="1041" t="s">
        <v>136</v>
      </c>
      <c r="B83" s="1312" t="s">
        <v>624</v>
      </c>
      <c r="C83" s="987"/>
      <c r="D83" s="986"/>
      <c r="E83" s="987"/>
      <c r="F83" s="987"/>
      <c r="G83" s="987"/>
      <c r="H83" s="987"/>
      <c r="I83" s="987"/>
      <c r="J83" s="987"/>
      <c r="K83" s="987"/>
      <c r="L83" s="988"/>
      <c r="M83" s="988"/>
      <c r="N83" s="988"/>
      <c r="O83" s="988"/>
      <c r="P83" s="987"/>
      <c r="Q83" s="987"/>
      <c r="R83" s="987"/>
      <c r="S83" s="987"/>
      <c r="T83" s="987"/>
      <c r="U83" s="987"/>
      <c r="V83" s="987">
        <v>1</v>
      </c>
      <c r="W83" s="987"/>
      <c r="X83" s="987"/>
      <c r="Y83" s="987"/>
      <c r="Z83" s="987"/>
      <c r="AA83" s="987">
        <f t="shared" si="4"/>
        <v>1</v>
      </c>
      <c r="AB83" s="987" t="s">
        <v>146</v>
      </c>
      <c r="AC83" s="987" t="s">
        <v>71</v>
      </c>
      <c r="AD83" s="1036" t="s">
        <v>32</v>
      </c>
      <c r="AE83" s="988">
        <v>8</v>
      </c>
      <c r="AF83" s="989">
        <f t="shared" si="5"/>
        <v>370129.5</v>
      </c>
    </row>
    <row r="84" spans="1:34" s="287" customFormat="1" ht="38.25">
      <c r="A84" s="1036" t="s">
        <v>35</v>
      </c>
      <c r="B84" s="1304" t="s">
        <v>957</v>
      </c>
      <c r="C84" s="987"/>
      <c r="D84" s="986"/>
      <c r="E84" s="987"/>
      <c r="F84" s="987"/>
      <c r="G84" s="987"/>
      <c r="H84" s="987"/>
      <c r="I84" s="987"/>
      <c r="J84" s="987"/>
      <c r="K84" s="987"/>
      <c r="L84" s="988"/>
      <c r="M84" s="988"/>
      <c r="N84" s="988"/>
      <c r="O84" s="988"/>
      <c r="P84" s="987"/>
      <c r="Q84" s="987"/>
      <c r="R84" s="987"/>
      <c r="S84" s="987"/>
      <c r="T84" s="987"/>
      <c r="U84" s="987"/>
      <c r="V84" s="987">
        <v>1</v>
      </c>
      <c r="W84" s="987"/>
      <c r="X84" s="987"/>
      <c r="Y84" s="987"/>
      <c r="Z84" s="987"/>
      <c r="AA84" s="987">
        <f t="shared" si="4"/>
        <v>1</v>
      </c>
      <c r="AB84" s="987" t="s">
        <v>963</v>
      </c>
      <c r="AC84" s="987" t="s">
        <v>71</v>
      </c>
      <c r="AD84" s="1036" t="s">
        <v>32</v>
      </c>
      <c r="AE84" s="988">
        <v>32</v>
      </c>
      <c r="AF84" s="989">
        <f t="shared" si="5"/>
        <v>370129.5</v>
      </c>
    </row>
    <row r="85" spans="1:34" ht="18" customHeight="1">
      <c r="A85" s="912" t="s">
        <v>125</v>
      </c>
      <c r="B85" s="913" t="s">
        <v>258</v>
      </c>
      <c r="C85" s="913"/>
      <c r="D85" s="913"/>
      <c r="E85" s="913"/>
      <c r="F85" s="913"/>
      <c r="G85" s="913"/>
      <c r="H85" s="913"/>
      <c r="I85" s="913"/>
      <c r="J85" s="913"/>
      <c r="K85" s="913"/>
      <c r="L85" s="913"/>
      <c r="M85" s="913"/>
      <c r="N85" s="913"/>
      <c r="O85" s="913"/>
      <c r="P85" s="913"/>
      <c r="Q85" s="913"/>
      <c r="R85" s="913"/>
      <c r="S85" s="913"/>
      <c r="T85" s="913"/>
      <c r="U85" s="913"/>
      <c r="V85" s="913"/>
      <c r="W85" s="913"/>
      <c r="X85" s="913"/>
      <c r="Y85" s="913"/>
      <c r="Z85" s="913"/>
      <c r="AA85" s="913"/>
      <c r="AB85" s="913"/>
      <c r="AC85" s="913"/>
      <c r="AD85" s="913"/>
      <c r="AE85" s="913"/>
      <c r="AF85" s="914"/>
    </row>
    <row r="86" spans="1:34" ht="30.75" customHeight="1">
      <c r="A86" s="82" t="s">
        <v>33</v>
      </c>
      <c r="B86" s="1386" t="s">
        <v>747</v>
      </c>
      <c r="C86" s="1387"/>
      <c r="D86" s="1387"/>
      <c r="E86" s="1387"/>
      <c r="F86" s="1387"/>
      <c r="G86" s="1387"/>
      <c r="H86" s="1387"/>
      <c r="I86" s="1387"/>
      <c r="J86" s="1387"/>
      <c r="K86" s="1387"/>
      <c r="L86" s="1387"/>
      <c r="M86" s="1387"/>
      <c r="N86" s="1387"/>
      <c r="O86" s="1387"/>
      <c r="P86" s="1387"/>
      <c r="Q86" s="1387"/>
      <c r="R86" s="1387"/>
      <c r="S86" s="1387"/>
      <c r="T86" s="1387"/>
      <c r="U86" s="1387"/>
      <c r="V86" s="1387"/>
      <c r="W86" s="1387"/>
      <c r="X86" s="1387"/>
      <c r="Y86" s="1387"/>
      <c r="Z86" s="1387"/>
      <c r="AA86" s="1387"/>
      <c r="AB86" s="1387"/>
      <c r="AC86" s="1387"/>
      <c r="AD86" s="1388"/>
      <c r="AE86" s="78">
        <v>1.6</v>
      </c>
      <c r="AF86" s="113"/>
    </row>
    <row r="87" spans="1:34" ht="39" customHeight="1">
      <c r="A87" s="82" t="s">
        <v>34</v>
      </c>
      <c r="B87" s="1386" t="s">
        <v>964</v>
      </c>
      <c r="C87" s="1387"/>
      <c r="D87" s="1387"/>
      <c r="E87" s="1387"/>
      <c r="F87" s="1387"/>
      <c r="G87" s="1387"/>
      <c r="H87" s="1387"/>
      <c r="I87" s="1387"/>
      <c r="J87" s="1387"/>
      <c r="K87" s="1387"/>
      <c r="L87" s="1387"/>
      <c r="M87" s="1387"/>
      <c r="N87" s="1387"/>
      <c r="O87" s="1387"/>
      <c r="P87" s="1387"/>
      <c r="Q87" s="1387"/>
      <c r="R87" s="1387"/>
      <c r="S87" s="1387"/>
      <c r="T87" s="1387"/>
      <c r="U87" s="1387"/>
      <c r="V87" s="1387"/>
      <c r="W87" s="1387"/>
      <c r="X87" s="1387"/>
      <c r="Y87" s="1387"/>
      <c r="Z87" s="1387"/>
      <c r="AA87" s="1387"/>
      <c r="AB87" s="1387"/>
      <c r="AC87" s="1387"/>
      <c r="AD87" s="1388"/>
      <c r="AE87" s="79" t="s">
        <v>567</v>
      </c>
      <c r="AF87" s="113"/>
    </row>
    <row r="88" spans="1:34" ht="31.5" customHeight="1">
      <c r="A88" s="82" t="s">
        <v>35</v>
      </c>
      <c r="B88" s="1386" t="s">
        <v>965</v>
      </c>
      <c r="C88" s="1387"/>
      <c r="D88" s="1387"/>
      <c r="E88" s="1387"/>
      <c r="F88" s="1387"/>
      <c r="G88" s="1387"/>
      <c r="H88" s="1387"/>
      <c r="I88" s="1387"/>
      <c r="J88" s="1387"/>
      <c r="K88" s="1387"/>
      <c r="L88" s="1387"/>
      <c r="M88" s="1387"/>
      <c r="N88" s="1387"/>
      <c r="O88" s="1387"/>
      <c r="P88" s="1387"/>
      <c r="Q88" s="1387"/>
      <c r="R88" s="1387"/>
      <c r="S88" s="1387"/>
      <c r="T88" s="1387"/>
      <c r="U88" s="1387"/>
      <c r="V88" s="1387"/>
      <c r="W88" s="1387"/>
      <c r="X88" s="1387"/>
      <c r="Y88" s="1387"/>
      <c r="Z88" s="1387"/>
      <c r="AA88" s="1387"/>
      <c r="AB88" s="1387"/>
      <c r="AC88" s="1387"/>
      <c r="AD88" s="1388"/>
      <c r="AE88" s="78"/>
      <c r="AF88" s="113"/>
    </row>
    <row r="89" spans="1:34" ht="27.75" customHeight="1">
      <c r="A89" s="82" t="s">
        <v>158</v>
      </c>
      <c r="B89" s="1386" t="s">
        <v>966</v>
      </c>
      <c r="C89" s="1387"/>
      <c r="D89" s="1387"/>
      <c r="E89" s="1387"/>
      <c r="F89" s="1387"/>
      <c r="G89" s="1387"/>
      <c r="H89" s="1387"/>
      <c r="I89" s="1387"/>
      <c r="J89" s="1387"/>
      <c r="K89" s="1387"/>
      <c r="L89" s="1387"/>
      <c r="M89" s="1387"/>
      <c r="N89" s="1387"/>
      <c r="O89" s="1387"/>
      <c r="P89" s="1387"/>
      <c r="Q89" s="1387"/>
      <c r="R89" s="1387"/>
      <c r="S89" s="1387"/>
      <c r="T89" s="1387"/>
      <c r="U89" s="1387"/>
      <c r="V89" s="1387"/>
      <c r="W89" s="1387"/>
      <c r="X89" s="1387"/>
      <c r="Y89" s="1387"/>
      <c r="Z89" s="1387"/>
      <c r="AA89" s="1387"/>
      <c r="AB89" s="1387"/>
      <c r="AC89" s="1387"/>
      <c r="AD89" s="1388"/>
      <c r="AE89" s="78"/>
      <c r="AF89" s="113"/>
    </row>
    <row r="90" spans="1:34" ht="27.6" customHeight="1">
      <c r="A90" s="82" t="s">
        <v>159</v>
      </c>
      <c r="B90" s="1386" t="s">
        <v>748</v>
      </c>
      <c r="C90" s="1387"/>
      <c r="D90" s="1387"/>
      <c r="E90" s="1387"/>
      <c r="F90" s="1387"/>
      <c r="G90" s="1387"/>
      <c r="H90" s="1387"/>
      <c r="I90" s="1387"/>
      <c r="J90" s="1387"/>
      <c r="K90" s="1387"/>
      <c r="L90" s="1387"/>
      <c r="M90" s="1387"/>
      <c r="N90" s="1387"/>
      <c r="O90" s="1387"/>
      <c r="P90" s="1387"/>
      <c r="Q90" s="1387"/>
      <c r="R90" s="1387"/>
      <c r="S90" s="1387"/>
      <c r="T90" s="1387"/>
      <c r="U90" s="1387"/>
      <c r="V90" s="1387"/>
      <c r="W90" s="1387"/>
      <c r="X90" s="1387"/>
      <c r="Y90" s="1387"/>
      <c r="Z90" s="1387"/>
      <c r="AA90" s="1387"/>
      <c r="AB90" s="1387"/>
      <c r="AC90" s="1387"/>
      <c r="AD90" s="1388"/>
      <c r="AE90" s="78"/>
      <c r="AF90" s="113"/>
    </row>
    <row r="91" spans="1:34" ht="28.5" customHeight="1">
      <c r="A91" s="82" t="s">
        <v>160</v>
      </c>
      <c r="B91" s="1386" t="s">
        <v>749</v>
      </c>
      <c r="C91" s="1387"/>
      <c r="D91" s="1387"/>
      <c r="E91" s="1387"/>
      <c r="F91" s="1387"/>
      <c r="G91" s="1387"/>
      <c r="H91" s="1387"/>
      <c r="I91" s="1387"/>
      <c r="J91" s="1387"/>
      <c r="K91" s="1387"/>
      <c r="L91" s="1387"/>
      <c r="M91" s="1387"/>
      <c r="N91" s="1387"/>
      <c r="O91" s="1387"/>
      <c r="P91" s="1387"/>
      <c r="Q91" s="1387"/>
      <c r="R91" s="1387"/>
      <c r="S91" s="1387"/>
      <c r="T91" s="1387"/>
      <c r="U91" s="1387"/>
      <c r="V91" s="1387"/>
      <c r="W91" s="1387"/>
      <c r="X91" s="1387"/>
      <c r="Y91" s="1387"/>
      <c r="Z91" s="1387"/>
      <c r="AA91" s="1387"/>
      <c r="AB91" s="1387"/>
      <c r="AC91" s="1387"/>
      <c r="AD91" s="1388"/>
      <c r="AE91" s="79"/>
      <c r="AF91" s="113"/>
    </row>
    <row r="92" spans="1:34">
      <c r="A92" s="99"/>
      <c r="B92" s="100"/>
      <c r="C92" s="102"/>
      <c r="D92" s="100"/>
      <c r="E92" s="102"/>
      <c r="F92" s="102"/>
      <c r="G92" s="102"/>
      <c r="H92" s="102"/>
      <c r="I92" s="102"/>
      <c r="J92" s="102"/>
      <c r="K92" s="102"/>
      <c r="L92" s="114"/>
      <c r="M92" s="114"/>
      <c r="N92" s="114"/>
      <c r="O92" s="114"/>
      <c r="P92" s="102"/>
      <c r="Q92" s="102"/>
      <c r="R92" s="102"/>
      <c r="S92" s="102"/>
      <c r="T92" s="102"/>
      <c r="U92" s="102"/>
      <c r="V92" s="102"/>
      <c r="W92" s="102"/>
      <c r="X92" s="102"/>
      <c r="Y92" s="102"/>
      <c r="Z92" s="102"/>
      <c r="AA92" s="102"/>
      <c r="AB92" s="100"/>
      <c r="AC92" s="100"/>
      <c r="AD92" s="101"/>
      <c r="AE92" s="102"/>
      <c r="AF92" s="115"/>
    </row>
    <row r="93" spans="1:34" ht="37.5" customHeight="1">
      <c r="A93" s="873" t="s">
        <v>107</v>
      </c>
      <c r="B93" s="1406" t="s">
        <v>967</v>
      </c>
      <c r="C93" s="1406"/>
      <c r="D93" s="1406"/>
      <c r="E93" s="1406"/>
      <c r="F93" s="1406"/>
      <c r="G93" s="1406"/>
      <c r="H93" s="1406"/>
      <c r="I93" s="1406"/>
      <c r="J93" s="1406"/>
      <c r="K93" s="1406"/>
      <c r="L93" s="1406"/>
      <c r="M93" s="1406"/>
      <c r="N93" s="1406"/>
      <c r="O93" s="1406"/>
      <c r="P93" s="1406"/>
      <c r="Q93" s="1406"/>
      <c r="R93" s="1406"/>
      <c r="S93" s="1406"/>
      <c r="T93" s="1406"/>
      <c r="U93" s="1406"/>
      <c r="V93" s="1406"/>
      <c r="W93" s="1406"/>
      <c r="X93" s="1406"/>
      <c r="Y93" s="1406"/>
      <c r="Z93" s="1406"/>
      <c r="AA93" s="1406"/>
      <c r="AB93" s="1406"/>
      <c r="AC93" s="1406"/>
      <c r="AD93" s="1406"/>
      <c r="AE93" s="1406"/>
      <c r="AF93" s="950"/>
      <c r="AG93" s="950"/>
      <c r="AH93" s="949" t="s">
        <v>339</v>
      </c>
    </row>
    <row r="94" spans="1:34" ht="18" customHeight="1">
      <c r="A94" s="938" t="s">
        <v>657</v>
      </c>
      <c r="B94" s="1390" t="s">
        <v>968</v>
      </c>
      <c r="C94" s="1390"/>
      <c r="D94" s="1390"/>
      <c r="E94" s="1390"/>
      <c r="F94" s="1390"/>
      <c r="G94" s="1390"/>
      <c r="H94" s="1390"/>
      <c r="I94" s="1390"/>
      <c r="J94" s="1390"/>
      <c r="K94" s="1390"/>
      <c r="L94" s="1390"/>
      <c r="M94" s="1390"/>
      <c r="N94" s="1390"/>
      <c r="O94" s="1390"/>
      <c r="P94" s="1390"/>
      <c r="Q94" s="1390"/>
      <c r="R94" s="1390"/>
      <c r="S94" s="1390"/>
      <c r="T94" s="1390"/>
      <c r="U94" s="1390"/>
      <c r="V94" s="1390"/>
      <c r="W94" s="1390"/>
      <c r="X94" s="1390"/>
      <c r="Y94" s="1390"/>
      <c r="Z94" s="1390"/>
      <c r="AA94" s="1390"/>
      <c r="AB94" s="1390"/>
      <c r="AC94" s="1390"/>
      <c r="AD94" s="1390"/>
      <c r="AE94" s="827" t="s">
        <v>213</v>
      </c>
      <c r="AF94" s="827" t="s">
        <v>214</v>
      </c>
      <c r="AG94" s="827" t="s">
        <v>552</v>
      </c>
      <c r="AH94" s="165"/>
    </row>
    <row r="95" spans="1:34" s="287" customFormat="1" ht="18" customHeight="1">
      <c r="A95" s="1036" t="s">
        <v>33</v>
      </c>
      <c r="B95" s="986" t="s">
        <v>151</v>
      </c>
      <c r="C95" s="987"/>
      <c r="D95" s="997"/>
      <c r="E95" s="997"/>
      <c r="F95" s="997"/>
      <c r="G95" s="997"/>
      <c r="H95" s="997"/>
      <c r="I95" s="997"/>
      <c r="J95" s="997"/>
      <c r="K95" s="997"/>
      <c r="L95" s="997"/>
      <c r="M95" s="997"/>
      <c r="N95" s="997"/>
      <c r="O95" s="997"/>
      <c r="P95" s="997"/>
      <c r="Q95" s="997"/>
      <c r="R95" s="997"/>
      <c r="S95" s="997"/>
      <c r="T95" s="997"/>
      <c r="U95" s="997"/>
      <c r="V95" s="997"/>
      <c r="W95" s="997"/>
      <c r="X95" s="997"/>
      <c r="Y95" s="997"/>
      <c r="Z95" s="997"/>
      <c r="AA95" s="987">
        <f t="shared" ref="AA95:AA132" si="6">SUM(C95:Z95)</f>
        <v>0</v>
      </c>
      <c r="AB95" s="997"/>
      <c r="AC95" s="997"/>
      <c r="AD95" s="997"/>
      <c r="AE95" s="997"/>
      <c r="AF95" s="997"/>
      <c r="AG95" s="997"/>
      <c r="AH95" s="997"/>
    </row>
    <row r="96" spans="1:34" s="285" customFormat="1" ht="18" customHeight="1">
      <c r="A96" s="1041" t="s">
        <v>134</v>
      </c>
      <c r="B96" s="1039" t="s">
        <v>153</v>
      </c>
      <c r="C96" s="987"/>
      <c r="D96" s="986"/>
      <c r="E96" s="987"/>
      <c r="F96" s="987"/>
      <c r="G96" s="987"/>
      <c r="H96" s="987"/>
      <c r="I96" s="987"/>
      <c r="J96" s="987"/>
      <c r="K96" s="987"/>
      <c r="L96" s="988"/>
      <c r="M96" s="988"/>
      <c r="N96" s="988"/>
      <c r="O96" s="988"/>
      <c r="P96" s="987"/>
      <c r="Q96" s="987"/>
      <c r="R96" s="987"/>
      <c r="S96" s="987"/>
      <c r="T96" s="987">
        <v>1</v>
      </c>
      <c r="U96" s="987"/>
      <c r="V96" s="987"/>
      <c r="W96" s="987"/>
      <c r="X96" s="987"/>
      <c r="Y96" s="987"/>
      <c r="Z96" s="987"/>
      <c r="AA96" s="987">
        <f t="shared" si="6"/>
        <v>1</v>
      </c>
      <c r="AB96" s="987" t="s">
        <v>53</v>
      </c>
      <c r="AC96" s="987" t="s">
        <v>69</v>
      </c>
      <c r="AD96" s="1036" t="s">
        <v>32</v>
      </c>
      <c r="AE96" s="987">
        <v>0.2</v>
      </c>
      <c r="AF96" s="987">
        <v>0.2</v>
      </c>
      <c r="AG96" s="987">
        <v>0.26</v>
      </c>
      <c r="AH96" s="989">
        <f>(C96*C$6+D96*D$6+E96*E$6+F96*F$6+G96*G$6+H96*H$6+I96*I$6+J96*J$6+K96*K$6+L96*L$6+M96*M$6+N96*N$6+O96*O$6+P96*P$6+Q96*Q$6+R96*R$6+S96*S$6+T96*T$6+U96*U$6+V96*V$6+W96*W$6+X96*X$6+Y96*Y$6+Z96*Z$6)</f>
        <v>296770.5</v>
      </c>
    </row>
    <row r="97" spans="1:34" s="285" customFormat="1" ht="18" customHeight="1">
      <c r="A97" s="1297" t="s">
        <v>135</v>
      </c>
      <c r="B97" s="1295" t="s">
        <v>155</v>
      </c>
      <c r="C97" s="1046"/>
      <c r="D97" s="1045"/>
      <c r="E97" s="1046"/>
      <c r="F97" s="1046"/>
      <c r="G97" s="1046"/>
      <c r="H97" s="1046"/>
      <c r="I97" s="1046"/>
      <c r="J97" s="1046"/>
      <c r="K97" s="1046"/>
      <c r="L97" s="1047"/>
      <c r="M97" s="1047"/>
      <c r="N97" s="1047"/>
      <c r="O97" s="1047"/>
      <c r="P97" s="1046"/>
      <c r="Q97" s="1046"/>
      <c r="R97" s="1046"/>
      <c r="S97" s="1046"/>
      <c r="T97" s="1046">
        <v>1</v>
      </c>
      <c r="U97" s="1046"/>
      <c r="V97" s="1046"/>
      <c r="W97" s="1046"/>
      <c r="X97" s="1046"/>
      <c r="Y97" s="1046"/>
      <c r="Z97" s="1046"/>
      <c r="AA97" s="1046">
        <f t="shared" si="6"/>
        <v>1</v>
      </c>
      <c r="AB97" s="1046" t="s">
        <v>53</v>
      </c>
      <c r="AC97" s="1046" t="s">
        <v>69</v>
      </c>
      <c r="AD97" s="1044" t="s">
        <v>32</v>
      </c>
      <c r="AE97" s="1046">
        <v>0.15</v>
      </c>
      <c r="AF97" s="1046">
        <v>0.15</v>
      </c>
      <c r="AG97" s="1046">
        <v>0.19</v>
      </c>
      <c r="AH97" s="1050">
        <f t="shared" ref="AH97:AH150" si="7">(C97*C$6+D97*D$6+E97*E$6+F97*F$6+G97*G$6+H97*H$6+I97*I$6+J97*J$6+K97*K$6+L97*L$6+M97*M$6+N97*N$6+O97*O$6+P97*P$6+Q97*Q$6+R97*R$6+S97*S$6+T97*T$6+U97*U$6+V97*V$6+W97*W$6+X97*X$6+Y97*Y$6+Z97*Z$6)</f>
        <v>296770.5</v>
      </c>
    </row>
    <row r="98" spans="1:34" s="287" customFormat="1" ht="38.25">
      <c r="A98" s="1036" t="s">
        <v>34</v>
      </c>
      <c r="B98" s="986" t="s">
        <v>156</v>
      </c>
      <c r="C98" s="987"/>
      <c r="D98" s="986"/>
      <c r="E98" s="987"/>
      <c r="F98" s="987"/>
      <c r="G98" s="987"/>
      <c r="H98" s="987"/>
      <c r="I98" s="987"/>
      <c r="J98" s="987"/>
      <c r="K98" s="987"/>
      <c r="L98" s="988"/>
      <c r="M98" s="988"/>
      <c r="N98" s="988"/>
      <c r="O98" s="988"/>
      <c r="P98" s="987"/>
      <c r="Q98" s="987"/>
      <c r="R98" s="987"/>
      <c r="S98" s="987"/>
      <c r="T98" s="987">
        <v>1</v>
      </c>
      <c r="U98" s="987"/>
      <c r="V98" s="987"/>
      <c r="W98" s="987"/>
      <c r="X98" s="987"/>
      <c r="Y98" s="987"/>
      <c r="Z98" s="987"/>
      <c r="AA98" s="987">
        <f t="shared" si="6"/>
        <v>1</v>
      </c>
      <c r="AB98" s="987" t="s">
        <v>53</v>
      </c>
      <c r="AC98" s="987" t="s">
        <v>69</v>
      </c>
      <c r="AD98" s="1036" t="s">
        <v>32</v>
      </c>
      <c r="AE98" s="987">
        <v>0.1</v>
      </c>
      <c r="AF98" s="987">
        <v>0.1</v>
      </c>
      <c r="AG98" s="987">
        <v>1.1299999999999999</v>
      </c>
      <c r="AH98" s="989">
        <f t="shared" si="7"/>
        <v>296770.5</v>
      </c>
    </row>
    <row r="99" spans="1:34" s="287" customFormat="1" ht="25.5">
      <c r="A99" s="1036" t="s">
        <v>35</v>
      </c>
      <c r="B99" s="986" t="s">
        <v>157</v>
      </c>
      <c r="C99" s="987"/>
      <c r="D99" s="986"/>
      <c r="E99" s="987"/>
      <c r="F99" s="987"/>
      <c r="G99" s="987"/>
      <c r="H99" s="987"/>
      <c r="I99" s="987"/>
      <c r="J99" s="987"/>
      <c r="K99" s="987"/>
      <c r="L99" s="988"/>
      <c r="M99" s="988"/>
      <c r="N99" s="988"/>
      <c r="O99" s="988"/>
      <c r="P99" s="987"/>
      <c r="Q99" s="987"/>
      <c r="R99" s="987"/>
      <c r="S99" s="987"/>
      <c r="T99" s="987"/>
      <c r="U99" s="987">
        <v>1</v>
      </c>
      <c r="V99" s="987"/>
      <c r="W99" s="987"/>
      <c r="X99" s="987"/>
      <c r="Y99" s="987"/>
      <c r="Z99" s="987"/>
      <c r="AA99" s="987">
        <f t="shared" si="6"/>
        <v>1</v>
      </c>
      <c r="AB99" s="987" t="s">
        <v>1</v>
      </c>
      <c r="AC99" s="987" t="s">
        <v>106</v>
      </c>
      <c r="AD99" s="1036" t="s">
        <v>32</v>
      </c>
      <c r="AE99" s="987">
        <v>0.107</v>
      </c>
      <c r="AF99" s="987">
        <f>AE99</f>
        <v>0.107</v>
      </c>
      <c r="AG99" s="987">
        <v>0.16700000000000001</v>
      </c>
      <c r="AH99" s="989">
        <f t="shared" si="7"/>
        <v>333450</v>
      </c>
    </row>
    <row r="100" spans="1:34" s="287" customFormat="1" ht="25.5">
      <c r="A100" s="1036" t="s">
        <v>158</v>
      </c>
      <c r="B100" s="986" t="s">
        <v>189</v>
      </c>
      <c r="C100" s="987"/>
      <c r="D100" s="986"/>
      <c r="E100" s="987"/>
      <c r="F100" s="987"/>
      <c r="G100" s="987"/>
      <c r="H100" s="987"/>
      <c r="I100" s="987"/>
      <c r="J100" s="987"/>
      <c r="K100" s="987"/>
      <c r="L100" s="988"/>
      <c r="M100" s="988"/>
      <c r="N100" s="988"/>
      <c r="O100" s="988"/>
      <c r="P100" s="987"/>
      <c r="Q100" s="987"/>
      <c r="R100" s="987"/>
      <c r="S100" s="987"/>
      <c r="T100" s="987"/>
      <c r="U100" s="987"/>
      <c r="V100" s="987"/>
      <c r="W100" s="987"/>
      <c r="X100" s="987"/>
      <c r="Y100" s="987"/>
      <c r="Z100" s="987"/>
      <c r="AA100" s="987">
        <f t="shared" si="6"/>
        <v>0</v>
      </c>
      <c r="AB100" s="987"/>
      <c r="AC100" s="987"/>
      <c r="AD100" s="1036"/>
      <c r="AE100" s="987"/>
      <c r="AF100" s="987"/>
      <c r="AG100" s="987"/>
      <c r="AH100" s="989">
        <f t="shared" ref="AH100:AH106" si="8">(C100*C$6+D100*D$6+E100*E$6+F100*F$6+G100*G$6+H100*H$6+I100*I$6+J100*J$6+K100*K$6+L100*L$6+M100*M$6+N100*N$6+O100*O$6+P100*P$6+Q100*Q$6+R100*R$6+S100*S$6+T100*T$6+U100*U$6+V100*V$6+W100*W$6+X100*X$6+Y100*Y$6+Z100*Z$6)</f>
        <v>0</v>
      </c>
    </row>
    <row r="101" spans="1:34" s="287" customFormat="1">
      <c r="A101" s="1036" t="s">
        <v>217</v>
      </c>
      <c r="B101" s="986" t="s">
        <v>190</v>
      </c>
      <c r="C101" s="987"/>
      <c r="D101" s="986"/>
      <c r="E101" s="987"/>
      <c r="F101" s="987"/>
      <c r="G101" s="987"/>
      <c r="H101" s="987"/>
      <c r="I101" s="987"/>
      <c r="J101" s="987"/>
      <c r="K101" s="987"/>
      <c r="L101" s="988"/>
      <c r="M101" s="988"/>
      <c r="N101" s="988"/>
      <c r="O101" s="988"/>
      <c r="P101" s="987"/>
      <c r="Q101" s="987"/>
      <c r="R101" s="987"/>
      <c r="S101" s="987">
        <v>1</v>
      </c>
      <c r="T101" s="987"/>
      <c r="U101" s="987"/>
      <c r="V101" s="987"/>
      <c r="W101" s="987"/>
      <c r="X101" s="987"/>
      <c r="Y101" s="987"/>
      <c r="Z101" s="987"/>
      <c r="AA101" s="987">
        <f t="shared" si="6"/>
        <v>1</v>
      </c>
      <c r="AB101" s="987" t="s">
        <v>551</v>
      </c>
      <c r="AC101" s="987" t="s">
        <v>68</v>
      </c>
      <c r="AD101" s="1036" t="s">
        <v>32</v>
      </c>
      <c r="AE101" s="987">
        <v>1.6E-2</v>
      </c>
      <c r="AF101" s="987">
        <v>1.6E-2</v>
      </c>
      <c r="AG101" s="987">
        <v>0.02</v>
      </c>
      <c r="AH101" s="989">
        <f t="shared" si="8"/>
        <v>260091</v>
      </c>
    </row>
    <row r="102" spans="1:34" s="287" customFormat="1">
      <c r="A102" s="1036" t="s">
        <v>218</v>
      </c>
      <c r="B102" s="986" t="s">
        <v>191</v>
      </c>
      <c r="C102" s="987"/>
      <c r="D102" s="986"/>
      <c r="E102" s="987"/>
      <c r="F102" s="987"/>
      <c r="G102" s="987"/>
      <c r="H102" s="987"/>
      <c r="I102" s="987"/>
      <c r="J102" s="987"/>
      <c r="K102" s="987"/>
      <c r="L102" s="988"/>
      <c r="M102" s="988"/>
      <c r="N102" s="988"/>
      <c r="O102" s="988"/>
      <c r="P102" s="987"/>
      <c r="Q102" s="987"/>
      <c r="R102" s="987"/>
      <c r="S102" s="987">
        <v>1</v>
      </c>
      <c r="T102" s="987"/>
      <c r="U102" s="987"/>
      <c r="V102" s="987"/>
      <c r="W102" s="987"/>
      <c r="X102" s="987"/>
      <c r="Y102" s="987"/>
      <c r="Z102" s="987"/>
      <c r="AA102" s="987">
        <f t="shared" si="6"/>
        <v>1</v>
      </c>
      <c r="AB102" s="987" t="s">
        <v>551</v>
      </c>
      <c r="AC102" s="987" t="s">
        <v>68</v>
      </c>
      <c r="AD102" s="1036" t="s">
        <v>32</v>
      </c>
      <c r="AE102" s="987">
        <v>8.0000000000000002E-3</v>
      </c>
      <c r="AF102" s="987">
        <v>8.0000000000000002E-3</v>
      </c>
      <c r="AG102" s="987">
        <v>0.01</v>
      </c>
      <c r="AH102" s="989">
        <f t="shared" si="8"/>
        <v>260091</v>
      </c>
    </row>
    <row r="103" spans="1:34" s="287" customFormat="1" ht="38.25">
      <c r="A103" s="1036" t="s">
        <v>159</v>
      </c>
      <c r="B103" s="986" t="s">
        <v>192</v>
      </c>
      <c r="C103" s="987"/>
      <c r="D103" s="986"/>
      <c r="E103" s="987"/>
      <c r="F103" s="987"/>
      <c r="G103" s="987"/>
      <c r="H103" s="987"/>
      <c r="I103" s="987"/>
      <c r="J103" s="987"/>
      <c r="K103" s="987"/>
      <c r="L103" s="988"/>
      <c r="M103" s="988"/>
      <c r="N103" s="988"/>
      <c r="O103" s="988"/>
      <c r="P103" s="987"/>
      <c r="Q103" s="987"/>
      <c r="R103" s="987"/>
      <c r="S103" s="987">
        <v>1</v>
      </c>
      <c r="T103" s="987"/>
      <c r="U103" s="987"/>
      <c r="V103" s="987"/>
      <c r="W103" s="987"/>
      <c r="X103" s="987"/>
      <c r="Y103" s="987"/>
      <c r="Z103" s="987"/>
      <c r="AA103" s="987">
        <f t="shared" si="6"/>
        <v>1</v>
      </c>
      <c r="AB103" s="987" t="s">
        <v>551</v>
      </c>
      <c r="AC103" s="987" t="s">
        <v>68</v>
      </c>
      <c r="AD103" s="1036" t="s">
        <v>32</v>
      </c>
      <c r="AE103" s="987">
        <v>4.0000000000000001E-3</v>
      </c>
      <c r="AF103" s="987">
        <v>4.0000000000000001E-3</v>
      </c>
      <c r="AG103" s="987">
        <v>5.0000000000000001E-3</v>
      </c>
      <c r="AH103" s="989">
        <f t="shared" si="8"/>
        <v>260091</v>
      </c>
    </row>
    <row r="104" spans="1:34" s="287" customFormat="1" ht="38.25">
      <c r="A104" s="1036" t="s">
        <v>160</v>
      </c>
      <c r="B104" s="986" t="s">
        <v>958</v>
      </c>
      <c r="C104" s="987"/>
      <c r="D104" s="986"/>
      <c r="E104" s="987"/>
      <c r="F104" s="987"/>
      <c r="G104" s="987"/>
      <c r="H104" s="987"/>
      <c r="I104" s="987"/>
      <c r="J104" s="987"/>
      <c r="K104" s="987"/>
      <c r="L104" s="988"/>
      <c r="M104" s="988"/>
      <c r="N104" s="988"/>
      <c r="O104" s="988"/>
      <c r="P104" s="987"/>
      <c r="Q104" s="987"/>
      <c r="R104" s="987"/>
      <c r="S104" s="987"/>
      <c r="T104" s="987"/>
      <c r="U104" s="987"/>
      <c r="V104" s="987"/>
      <c r="W104" s="987"/>
      <c r="X104" s="987"/>
      <c r="Y104" s="987"/>
      <c r="Z104" s="987"/>
      <c r="AA104" s="987">
        <f>SUM(C104:Z104)</f>
        <v>0</v>
      </c>
      <c r="AB104" s="987"/>
      <c r="AC104" s="987"/>
      <c r="AD104" s="1036"/>
      <c r="AE104" s="987"/>
      <c r="AF104" s="987"/>
      <c r="AG104" s="987"/>
      <c r="AH104" s="989">
        <f t="shared" si="8"/>
        <v>0</v>
      </c>
    </row>
    <row r="105" spans="1:34" s="287" customFormat="1">
      <c r="A105" s="1036" t="s">
        <v>170</v>
      </c>
      <c r="B105" s="986" t="s">
        <v>168</v>
      </c>
      <c r="C105" s="987"/>
      <c r="D105" s="986"/>
      <c r="E105" s="987"/>
      <c r="F105" s="987"/>
      <c r="G105" s="987"/>
      <c r="H105" s="987"/>
      <c r="I105" s="987"/>
      <c r="J105" s="987"/>
      <c r="K105" s="987"/>
      <c r="L105" s="988"/>
      <c r="M105" s="988"/>
      <c r="N105" s="988"/>
      <c r="O105" s="988"/>
      <c r="P105" s="987"/>
      <c r="Q105" s="987"/>
      <c r="R105" s="987"/>
      <c r="S105" s="987"/>
      <c r="T105" s="987">
        <v>1</v>
      </c>
      <c r="U105" s="987"/>
      <c r="V105" s="987"/>
      <c r="W105" s="987"/>
      <c r="X105" s="987"/>
      <c r="Y105" s="987"/>
      <c r="Z105" s="987"/>
      <c r="AA105" s="987">
        <f>SUM(C105:Z105)</f>
        <v>1</v>
      </c>
      <c r="AB105" s="987" t="s">
        <v>1</v>
      </c>
      <c r="AC105" s="987" t="s">
        <v>69</v>
      </c>
      <c r="AD105" s="1036" t="s">
        <v>32</v>
      </c>
      <c r="AE105" s="987">
        <v>0.05</v>
      </c>
      <c r="AF105" s="987">
        <v>0</v>
      </c>
      <c r="AG105" s="987">
        <v>0.05</v>
      </c>
      <c r="AH105" s="989">
        <f t="shared" si="8"/>
        <v>296770.5</v>
      </c>
    </row>
    <row r="106" spans="1:34" s="287" customFormat="1">
      <c r="A106" s="1036" t="s">
        <v>172</v>
      </c>
      <c r="B106" s="986" t="s">
        <v>169</v>
      </c>
      <c r="C106" s="987"/>
      <c r="D106" s="986"/>
      <c r="E106" s="987"/>
      <c r="F106" s="987"/>
      <c r="G106" s="987"/>
      <c r="H106" s="987"/>
      <c r="I106" s="987"/>
      <c r="J106" s="987"/>
      <c r="K106" s="987"/>
      <c r="L106" s="988"/>
      <c r="M106" s="988"/>
      <c r="N106" s="988"/>
      <c r="O106" s="988"/>
      <c r="P106" s="987"/>
      <c r="Q106" s="987"/>
      <c r="R106" s="987"/>
      <c r="S106" s="987"/>
      <c r="T106" s="987">
        <v>1</v>
      </c>
      <c r="U106" s="987"/>
      <c r="V106" s="987"/>
      <c r="W106" s="987"/>
      <c r="X106" s="987"/>
      <c r="Y106" s="987"/>
      <c r="Z106" s="987"/>
      <c r="AA106" s="987">
        <f>SUM(C106:Z106)</f>
        <v>1</v>
      </c>
      <c r="AB106" s="987" t="s">
        <v>1</v>
      </c>
      <c r="AC106" s="987" t="s">
        <v>69</v>
      </c>
      <c r="AD106" s="1036" t="s">
        <v>32</v>
      </c>
      <c r="AE106" s="987">
        <v>0.1</v>
      </c>
      <c r="AF106" s="987">
        <v>0</v>
      </c>
      <c r="AG106" s="987">
        <v>0.1</v>
      </c>
      <c r="AH106" s="989">
        <f t="shared" si="8"/>
        <v>296770.5</v>
      </c>
    </row>
    <row r="107" spans="1:34" s="287" customFormat="1">
      <c r="A107" s="1395" t="s">
        <v>161</v>
      </c>
      <c r="B107" s="1392" t="s">
        <v>639</v>
      </c>
      <c r="C107" s="987"/>
      <c r="D107" s="986"/>
      <c r="E107" s="987"/>
      <c r="F107" s="987"/>
      <c r="G107" s="987"/>
      <c r="H107" s="987"/>
      <c r="I107" s="987"/>
      <c r="J107" s="987">
        <v>1</v>
      </c>
      <c r="K107" s="987"/>
      <c r="L107" s="988"/>
      <c r="M107" s="988"/>
      <c r="N107" s="988"/>
      <c r="O107" s="988"/>
      <c r="P107" s="987"/>
      <c r="Q107" s="987"/>
      <c r="R107" s="987"/>
      <c r="S107" s="987"/>
      <c r="T107" s="987">
        <v>1</v>
      </c>
      <c r="U107" s="987"/>
      <c r="V107" s="987"/>
      <c r="W107" s="987"/>
      <c r="X107" s="987"/>
      <c r="Y107" s="987"/>
      <c r="Z107" s="987"/>
      <c r="AA107" s="987">
        <f t="shared" si="6"/>
        <v>2</v>
      </c>
      <c r="AB107" s="1389" t="s">
        <v>53</v>
      </c>
      <c r="AC107" s="987" t="s">
        <v>549</v>
      </c>
      <c r="AD107" s="987">
        <v>1</v>
      </c>
      <c r="AE107" s="990">
        <v>0.9</v>
      </c>
      <c r="AF107" s="990">
        <v>0.9</v>
      </c>
      <c r="AG107" s="987">
        <v>1.17</v>
      </c>
      <c r="AH107" s="989">
        <f t="shared" si="7"/>
        <v>570199.5</v>
      </c>
    </row>
    <row r="108" spans="1:34" s="287" customFormat="1" ht="15" customHeight="1">
      <c r="A108" s="1396"/>
      <c r="B108" s="1393"/>
      <c r="C108" s="987">
        <v>1</v>
      </c>
      <c r="D108" s="986"/>
      <c r="E108" s="987"/>
      <c r="F108" s="987"/>
      <c r="G108" s="987"/>
      <c r="H108" s="987"/>
      <c r="I108" s="987"/>
      <c r="J108" s="987"/>
      <c r="K108" s="987"/>
      <c r="L108" s="988"/>
      <c r="M108" s="988"/>
      <c r="N108" s="988"/>
      <c r="O108" s="988"/>
      <c r="P108" s="987"/>
      <c r="Q108" s="987"/>
      <c r="R108" s="987"/>
      <c r="S108" s="987"/>
      <c r="T108" s="987"/>
      <c r="U108" s="987"/>
      <c r="V108" s="987"/>
      <c r="W108" s="987"/>
      <c r="X108" s="987"/>
      <c r="Y108" s="987"/>
      <c r="Z108" s="987"/>
      <c r="AA108" s="987">
        <f t="shared" si="6"/>
        <v>1</v>
      </c>
      <c r="AB108" s="1389"/>
      <c r="AC108" s="987" t="s">
        <v>202</v>
      </c>
      <c r="AD108" s="987"/>
      <c r="AE108" s="990">
        <v>0.7</v>
      </c>
      <c r="AF108" s="990">
        <v>0.7</v>
      </c>
      <c r="AG108" s="987">
        <v>0.91</v>
      </c>
      <c r="AH108" s="989">
        <f t="shared" si="7"/>
        <v>181923.07692307694</v>
      </c>
    </row>
    <row r="109" spans="1:34" s="287" customFormat="1" ht="15" customHeight="1">
      <c r="A109" s="1396"/>
      <c r="B109" s="1393"/>
      <c r="C109" s="987"/>
      <c r="D109" s="986"/>
      <c r="E109" s="987"/>
      <c r="F109" s="987"/>
      <c r="G109" s="987"/>
      <c r="H109" s="987"/>
      <c r="I109" s="987"/>
      <c r="J109" s="987">
        <v>1</v>
      </c>
      <c r="K109" s="987"/>
      <c r="L109" s="988"/>
      <c r="M109" s="988"/>
      <c r="N109" s="988"/>
      <c r="O109" s="988"/>
      <c r="P109" s="987"/>
      <c r="Q109" s="987"/>
      <c r="R109" s="987"/>
      <c r="S109" s="987"/>
      <c r="T109" s="987">
        <v>1</v>
      </c>
      <c r="U109" s="987"/>
      <c r="V109" s="987"/>
      <c r="W109" s="987"/>
      <c r="X109" s="987"/>
      <c r="Y109" s="987"/>
      <c r="Z109" s="987"/>
      <c r="AA109" s="987">
        <f t="shared" si="6"/>
        <v>2</v>
      </c>
      <c r="AB109" s="1389"/>
      <c r="AC109" s="987" t="s">
        <v>549</v>
      </c>
      <c r="AD109" s="987">
        <v>2</v>
      </c>
      <c r="AE109" s="990">
        <v>0.99</v>
      </c>
      <c r="AF109" s="990">
        <v>0.99</v>
      </c>
      <c r="AG109" s="987">
        <v>1.2869999999999999</v>
      </c>
      <c r="AH109" s="989">
        <f t="shared" si="7"/>
        <v>570199.5</v>
      </c>
    </row>
    <row r="110" spans="1:34" s="287" customFormat="1" ht="15" customHeight="1">
      <c r="A110" s="1396"/>
      <c r="B110" s="1393"/>
      <c r="C110" s="987">
        <v>1</v>
      </c>
      <c r="D110" s="986"/>
      <c r="E110" s="987"/>
      <c r="F110" s="987"/>
      <c r="G110" s="987"/>
      <c r="H110" s="987"/>
      <c r="I110" s="987"/>
      <c r="J110" s="987"/>
      <c r="K110" s="987"/>
      <c r="L110" s="988"/>
      <c r="M110" s="988"/>
      <c r="N110" s="988"/>
      <c r="O110" s="988"/>
      <c r="P110" s="987"/>
      <c r="Q110" s="987"/>
      <c r="R110" s="987"/>
      <c r="S110" s="987"/>
      <c r="T110" s="987"/>
      <c r="U110" s="987"/>
      <c r="V110" s="987"/>
      <c r="W110" s="987"/>
      <c r="X110" s="987"/>
      <c r="Y110" s="987"/>
      <c r="Z110" s="987"/>
      <c r="AA110" s="987">
        <f t="shared" si="6"/>
        <v>1</v>
      </c>
      <c r="AB110" s="1389"/>
      <c r="AC110" s="987" t="s">
        <v>202</v>
      </c>
      <c r="AD110" s="987"/>
      <c r="AE110" s="990">
        <v>0.77</v>
      </c>
      <c r="AF110" s="990">
        <v>0.77</v>
      </c>
      <c r="AG110" s="987">
        <v>1.0009999999999999</v>
      </c>
      <c r="AH110" s="989">
        <f t="shared" si="7"/>
        <v>181923.07692307694</v>
      </c>
    </row>
    <row r="111" spans="1:34" s="287" customFormat="1" ht="15" customHeight="1">
      <c r="A111" s="1396"/>
      <c r="B111" s="1393"/>
      <c r="C111" s="987"/>
      <c r="D111" s="986"/>
      <c r="E111" s="987"/>
      <c r="F111" s="987"/>
      <c r="G111" s="987"/>
      <c r="H111" s="987"/>
      <c r="I111" s="987"/>
      <c r="J111" s="987">
        <v>1</v>
      </c>
      <c r="K111" s="987"/>
      <c r="L111" s="988"/>
      <c r="M111" s="988"/>
      <c r="N111" s="988"/>
      <c r="O111" s="988"/>
      <c r="P111" s="987"/>
      <c r="Q111" s="987"/>
      <c r="R111" s="987"/>
      <c r="S111" s="987"/>
      <c r="T111" s="987">
        <v>1</v>
      </c>
      <c r="U111" s="987"/>
      <c r="V111" s="987"/>
      <c r="W111" s="987"/>
      <c r="X111" s="987"/>
      <c r="Y111" s="987"/>
      <c r="Z111" s="987"/>
      <c r="AA111" s="987">
        <f t="shared" si="6"/>
        <v>2</v>
      </c>
      <c r="AB111" s="1389"/>
      <c r="AC111" s="987" t="s">
        <v>549</v>
      </c>
      <c r="AD111" s="987">
        <v>3</v>
      </c>
      <c r="AE111" s="990">
        <v>1.089</v>
      </c>
      <c r="AF111" s="990">
        <v>1.089</v>
      </c>
      <c r="AG111" s="987">
        <v>1.4159999999999999</v>
      </c>
      <c r="AH111" s="989">
        <f t="shared" si="7"/>
        <v>570199.5</v>
      </c>
    </row>
    <row r="112" spans="1:34" s="287" customFormat="1" ht="15" customHeight="1">
      <c r="A112" s="1397"/>
      <c r="B112" s="1394"/>
      <c r="C112" s="987">
        <v>1</v>
      </c>
      <c r="D112" s="986"/>
      <c r="E112" s="987"/>
      <c r="F112" s="987"/>
      <c r="G112" s="987"/>
      <c r="H112" s="987"/>
      <c r="I112" s="987"/>
      <c r="J112" s="987"/>
      <c r="K112" s="987"/>
      <c r="L112" s="988"/>
      <c r="M112" s="988"/>
      <c r="N112" s="988"/>
      <c r="O112" s="988"/>
      <c r="P112" s="987"/>
      <c r="Q112" s="987"/>
      <c r="R112" s="987"/>
      <c r="S112" s="987"/>
      <c r="T112" s="987"/>
      <c r="U112" s="987"/>
      <c r="V112" s="987"/>
      <c r="W112" s="987"/>
      <c r="X112" s="987"/>
      <c r="Y112" s="987"/>
      <c r="Z112" s="987"/>
      <c r="AA112" s="987">
        <f t="shared" si="6"/>
        <v>1</v>
      </c>
      <c r="AB112" s="1389"/>
      <c r="AC112" s="987" t="s">
        <v>202</v>
      </c>
      <c r="AD112" s="987"/>
      <c r="AE112" s="990">
        <v>0.84699999999999998</v>
      </c>
      <c r="AF112" s="990">
        <v>0.84699999999999998</v>
      </c>
      <c r="AG112" s="987">
        <v>1.101</v>
      </c>
      <c r="AH112" s="989">
        <f t="shared" si="7"/>
        <v>181923.07692307694</v>
      </c>
    </row>
    <row r="113" spans="1:34" s="287" customFormat="1">
      <c r="A113" s="1395" t="s">
        <v>162</v>
      </c>
      <c r="B113" s="1392" t="s">
        <v>640</v>
      </c>
      <c r="C113" s="987"/>
      <c r="D113" s="986"/>
      <c r="E113" s="987"/>
      <c r="F113" s="987"/>
      <c r="G113" s="987"/>
      <c r="H113" s="987"/>
      <c r="I113" s="987"/>
      <c r="J113" s="987">
        <v>1</v>
      </c>
      <c r="K113" s="987"/>
      <c r="L113" s="988"/>
      <c r="M113" s="988"/>
      <c r="N113" s="988"/>
      <c r="O113" s="988"/>
      <c r="P113" s="987"/>
      <c r="Q113" s="987"/>
      <c r="R113" s="987"/>
      <c r="S113" s="987"/>
      <c r="T113" s="987">
        <v>1</v>
      </c>
      <c r="U113" s="987"/>
      <c r="V113" s="987"/>
      <c r="W113" s="987"/>
      <c r="X113" s="987"/>
      <c r="Y113" s="987"/>
      <c r="Z113" s="987"/>
      <c r="AA113" s="987">
        <f t="shared" ref="AA113:AA118" si="9">SUM(C113:Z113)</f>
        <v>2</v>
      </c>
      <c r="AB113" s="1389" t="s">
        <v>53</v>
      </c>
      <c r="AC113" s="987" t="s">
        <v>549</v>
      </c>
      <c r="AD113" s="987">
        <v>1</v>
      </c>
      <c r="AE113" s="990">
        <v>1</v>
      </c>
      <c r="AF113" s="990">
        <v>1</v>
      </c>
      <c r="AG113" s="990">
        <v>1.3</v>
      </c>
      <c r="AH113" s="989">
        <f t="shared" ref="AH113:AH118" si="10">(C113*C$6+D113*D$6+E113*E$6+F113*F$6+G113*G$6+H113*H$6+I113*I$6+J113*J$6+K113*K$6+L113*L$6+M113*M$6+N113*N$6+O113*O$6+P113*P$6+Q113*Q$6+R113*R$6+S113*S$6+T113*T$6+U113*U$6+V113*V$6+W113*W$6+X113*X$6+Y113*Y$6+Z113*Z$6)</f>
        <v>570199.5</v>
      </c>
    </row>
    <row r="114" spans="1:34" s="287" customFormat="1" ht="15" customHeight="1">
      <c r="A114" s="1396"/>
      <c r="B114" s="1393"/>
      <c r="C114" s="987">
        <v>1</v>
      </c>
      <c r="D114" s="986"/>
      <c r="E114" s="987"/>
      <c r="F114" s="987"/>
      <c r="G114" s="987"/>
      <c r="H114" s="987"/>
      <c r="I114" s="987"/>
      <c r="J114" s="987"/>
      <c r="K114" s="987"/>
      <c r="L114" s="988"/>
      <c r="M114" s="988"/>
      <c r="N114" s="988"/>
      <c r="O114" s="988"/>
      <c r="P114" s="987"/>
      <c r="Q114" s="987"/>
      <c r="R114" s="987"/>
      <c r="S114" s="987"/>
      <c r="T114" s="987"/>
      <c r="U114" s="987"/>
      <c r="V114" s="987"/>
      <c r="W114" s="987"/>
      <c r="X114" s="987"/>
      <c r="Y114" s="987"/>
      <c r="Z114" s="987"/>
      <c r="AA114" s="987">
        <f t="shared" si="9"/>
        <v>1</v>
      </c>
      <c r="AB114" s="1389"/>
      <c r="AC114" s="987" t="s">
        <v>202</v>
      </c>
      <c r="AD114" s="987"/>
      <c r="AE114" s="990">
        <v>0.59</v>
      </c>
      <c r="AF114" s="990">
        <v>0.59</v>
      </c>
      <c r="AG114" s="990">
        <v>0.76700000000000002</v>
      </c>
      <c r="AH114" s="989">
        <f t="shared" si="10"/>
        <v>181923.07692307694</v>
      </c>
    </row>
    <row r="115" spans="1:34" s="287" customFormat="1" ht="15" customHeight="1">
      <c r="A115" s="1396"/>
      <c r="B115" s="1393"/>
      <c r="C115" s="987"/>
      <c r="D115" s="986"/>
      <c r="E115" s="987"/>
      <c r="F115" s="987"/>
      <c r="G115" s="987"/>
      <c r="H115" s="987"/>
      <c r="I115" s="987"/>
      <c r="J115" s="987">
        <v>1</v>
      </c>
      <c r="K115" s="987"/>
      <c r="L115" s="988"/>
      <c r="M115" s="988"/>
      <c r="N115" s="988"/>
      <c r="O115" s="988"/>
      <c r="P115" s="987"/>
      <c r="Q115" s="987"/>
      <c r="R115" s="987"/>
      <c r="S115" s="987"/>
      <c r="T115" s="987">
        <v>1</v>
      </c>
      <c r="U115" s="987"/>
      <c r="V115" s="987"/>
      <c r="W115" s="987"/>
      <c r="X115" s="987"/>
      <c r="Y115" s="987"/>
      <c r="Z115" s="987"/>
      <c r="AA115" s="987">
        <f t="shared" si="9"/>
        <v>2</v>
      </c>
      <c r="AB115" s="1389"/>
      <c r="AC115" s="987" t="s">
        <v>549</v>
      </c>
      <c r="AD115" s="987">
        <v>2</v>
      </c>
      <c r="AE115" s="990">
        <v>1.1000000000000001</v>
      </c>
      <c r="AF115" s="990">
        <v>1.1000000000000001</v>
      </c>
      <c r="AG115" s="990">
        <v>1.43</v>
      </c>
      <c r="AH115" s="989">
        <f t="shared" si="10"/>
        <v>570199.5</v>
      </c>
    </row>
    <row r="116" spans="1:34" s="287" customFormat="1" ht="15" customHeight="1">
      <c r="A116" s="1396"/>
      <c r="B116" s="1393"/>
      <c r="C116" s="987">
        <v>1</v>
      </c>
      <c r="D116" s="986"/>
      <c r="E116" s="987"/>
      <c r="F116" s="987"/>
      <c r="G116" s="987"/>
      <c r="H116" s="987"/>
      <c r="I116" s="987"/>
      <c r="J116" s="987"/>
      <c r="K116" s="987"/>
      <c r="L116" s="988"/>
      <c r="M116" s="988"/>
      <c r="N116" s="988"/>
      <c r="O116" s="988"/>
      <c r="P116" s="987"/>
      <c r="Q116" s="987"/>
      <c r="R116" s="987"/>
      <c r="S116" s="987"/>
      <c r="T116" s="987"/>
      <c r="U116" s="987"/>
      <c r="V116" s="987"/>
      <c r="W116" s="987"/>
      <c r="X116" s="987"/>
      <c r="Y116" s="987"/>
      <c r="Z116" s="987"/>
      <c r="AA116" s="987">
        <f t="shared" si="9"/>
        <v>1</v>
      </c>
      <c r="AB116" s="1389"/>
      <c r="AC116" s="987" t="s">
        <v>202</v>
      </c>
      <c r="AD116" s="987"/>
      <c r="AE116" s="990">
        <v>0.65</v>
      </c>
      <c r="AF116" s="990">
        <v>0.65</v>
      </c>
      <c r="AG116" s="990">
        <v>0.84499999999999997</v>
      </c>
      <c r="AH116" s="989">
        <f t="shared" si="10"/>
        <v>181923.07692307694</v>
      </c>
    </row>
    <row r="117" spans="1:34" s="287" customFormat="1" ht="15" customHeight="1">
      <c r="A117" s="1396"/>
      <c r="B117" s="1393"/>
      <c r="C117" s="987"/>
      <c r="D117" s="986"/>
      <c r="E117" s="987"/>
      <c r="F117" s="987"/>
      <c r="G117" s="987"/>
      <c r="H117" s="987"/>
      <c r="I117" s="987"/>
      <c r="J117" s="987">
        <v>1</v>
      </c>
      <c r="K117" s="987"/>
      <c r="L117" s="988"/>
      <c r="M117" s="988"/>
      <c r="N117" s="988"/>
      <c r="O117" s="988"/>
      <c r="P117" s="987"/>
      <c r="Q117" s="987"/>
      <c r="R117" s="987"/>
      <c r="S117" s="987"/>
      <c r="T117" s="987">
        <v>1</v>
      </c>
      <c r="U117" s="987"/>
      <c r="V117" s="987"/>
      <c r="W117" s="987"/>
      <c r="X117" s="987"/>
      <c r="Y117" s="987"/>
      <c r="Z117" s="987"/>
      <c r="AA117" s="987">
        <f t="shared" si="9"/>
        <v>2</v>
      </c>
      <c r="AB117" s="1389"/>
      <c r="AC117" s="987" t="s">
        <v>549</v>
      </c>
      <c r="AD117" s="987">
        <v>3</v>
      </c>
      <c r="AE117" s="990">
        <v>1.21</v>
      </c>
      <c r="AF117" s="990">
        <v>1.21</v>
      </c>
      <c r="AG117" s="990">
        <v>1.573</v>
      </c>
      <c r="AH117" s="989">
        <f t="shared" si="10"/>
        <v>570199.5</v>
      </c>
    </row>
    <row r="118" spans="1:34" s="287" customFormat="1" ht="15" customHeight="1">
      <c r="A118" s="1397"/>
      <c r="B118" s="1394"/>
      <c r="C118" s="987">
        <v>1</v>
      </c>
      <c r="D118" s="986"/>
      <c r="E118" s="987"/>
      <c r="F118" s="987"/>
      <c r="G118" s="987"/>
      <c r="H118" s="987"/>
      <c r="I118" s="987"/>
      <c r="J118" s="987"/>
      <c r="K118" s="987"/>
      <c r="L118" s="988"/>
      <c r="M118" s="988"/>
      <c r="N118" s="988"/>
      <c r="O118" s="988"/>
      <c r="P118" s="987"/>
      <c r="Q118" s="987"/>
      <c r="R118" s="987"/>
      <c r="S118" s="987"/>
      <c r="T118" s="987"/>
      <c r="U118" s="987"/>
      <c r="V118" s="987"/>
      <c r="W118" s="987"/>
      <c r="X118" s="987"/>
      <c r="Y118" s="987"/>
      <c r="Z118" s="987"/>
      <c r="AA118" s="987">
        <f t="shared" si="9"/>
        <v>1</v>
      </c>
      <c r="AB118" s="1389"/>
      <c r="AC118" s="987" t="s">
        <v>202</v>
      </c>
      <c r="AD118" s="987"/>
      <c r="AE118" s="990">
        <v>0.71</v>
      </c>
      <c r="AF118" s="990">
        <v>0.71</v>
      </c>
      <c r="AG118" s="990">
        <v>0.92300000000000004</v>
      </c>
      <c r="AH118" s="989">
        <f t="shared" si="10"/>
        <v>181923.07692307694</v>
      </c>
    </row>
    <row r="119" spans="1:34" s="638" customFormat="1" ht="25.5">
      <c r="A119" s="1046">
        <v>9</v>
      </c>
      <c r="B119" s="1304" t="s">
        <v>641</v>
      </c>
      <c r="C119" s="987"/>
      <c r="D119" s="986"/>
      <c r="E119" s="987"/>
      <c r="F119" s="987"/>
      <c r="G119" s="987"/>
      <c r="H119" s="987"/>
      <c r="I119" s="987"/>
      <c r="J119" s="987"/>
      <c r="K119" s="987"/>
      <c r="L119" s="988"/>
      <c r="M119" s="988"/>
      <c r="N119" s="988"/>
      <c r="O119" s="988"/>
      <c r="P119" s="987"/>
      <c r="Q119" s="987"/>
      <c r="R119" s="987"/>
      <c r="S119" s="987"/>
      <c r="T119" s="987">
        <v>1</v>
      </c>
      <c r="U119" s="987"/>
      <c r="V119" s="987"/>
      <c r="W119" s="987"/>
      <c r="X119" s="987"/>
      <c r="Y119" s="987"/>
      <c r="Z119" s="987"/>
      <c r="AA119" s="987">
        <f t="shared" si="6"/>
        <v>1</v>
      </c>
      <c r="AB119" s="987" t="s">
        <v>53</v>
      </c>
      <c r="AC119" s="1305" t="s">
        <v>69</v>
      </c>
      <c r="AD119" s="1036" t="s">
        <v>32</v>
      </c>
      <c r="AE119" s="987">
        <v>0.05</v>
      </c>
      <c r="AF119" s="987">
        <v>0.05</v>
      </c>
      <c r="AG119" s="987">
        <v>0.05</v>
      </c>
      <c r="AH119" s="989">
        <f t="shared" si="7"/>
        <v>296770.5</v>
      </c>
    </row>
    <row r="120" spans="1:34" s="638" customFormat="1" ht="38.25">
      <c r="A120" s="1046">
        <v>10</v>
      </c>
      <c r="B120" s="1304" t="s">
        <v>709</v>
      </c>
      <c r="C120" s="987"/>
      <c r="D120" s="986"/>
      <c r="E120" s="987"/>
      <c r="F120" s="987"/>
      <c r="G120" s="987"/>
      <c r="H120" s="987"/>
      <c r="I120" s="987"/>
      <c r="J120" s="987">
        <v>1</v>
      </c>
      <c r="K120" s="987"/>
      <c r="L120" s="988"/>
      <c r="M120" s="988"/>
      <c r="N120" s="988"/>
      <c r="O120" s="988"/>
      <c r="P120" s="987"/>
      <c r="Q120" s="987"/>
      <c r="R120" s="987"/>
      <c r="S120" s="987"/>
      <c r="T120" s="987"/>
      <c r="U120" s="987"/>
      <c r="V120" s="987"/>
      <c r="W120" s="987"/>
      <c r="X120" s="987"/>
      <c r="Y120" s="987"/>
      <c r="Z120" s="987"/>
      <c r="AA120" s="987">
        <f t="shared" si="6"/>
        <v>1</v>
      </c>
      <c r="AB120" s="987" t="s">
        <v>53</v>
      </c>
      <c r="AC120" s="987" t="s">
        <v>108</v>
      </c>
      <c r="AD120" s="1036" t="s">
        <v>32</v>
      </c>
      <c r="AE120" s="987">
        <v>0.06</v>
      </c>
      <c r="AF120" s="987">
        <v>0.06</v>
      </c>
      <c r="AG120" s="987">
        <v>7.8E-2</v>
      </c>
      <c r="AH120" s="989">
        <f t="shared" si="7"/>
        <v>273429.00000000006</v>
      </c>
    </row>
    <row r="121" spans="1:34" s="287" customFormat="1" ht="25.5">
      <c r="A121" s="1046">
        <v>11</v>
      </c>
      <c r="B121" s="1304" t="s">
        <v>610</v>
      </c>
      <c r="C121" s="987"/>
      <c r="D121" s="986"/>
      <c r="E121" s="987"/>
      <c r="F121" s="987"/>
      <c r="G121" s="987"/>
      <c r="H121" s="987"/>
      <c r="I121" s="987"/>
      <c r="J121" s="987"/>
      <c r="K121" s="987"/>
      <c r="L121" s="988"/>
      <c r="M121" s="988"/>
      <c r="N121" s="988"/>
      <c r="O121" s="988"/>
      <c r="P121" s="987"/>
      <c r="Q121" s="987"/>
      <c r="R121" s="987"/>
      <c r="S121" s="987"/>
      <c r="T121" s="987"/>
      <c r="U121" s="987"/>
      <c r="V121" s="987"/>
      <c r="W121" s="987"/>
      <c r="X121" s="987"/>
      <c r="Y121" s="987"/>
      <c r="Z121" s="987"/>
      <c r="AA121" s="987"/>
      <c r="AB121" s="987"/>
      <c r="AC121" s="987"/>
      <c r="AD121" s="987"/>
      <c r="AE121" s="987"/>
      <c r="AF121" s="987"/>
      <c r="AG121" s="987"/>
      <c r="AH121" s="989"/>
    </row>
    <row r="122" spans="1:34" s="285" customFormat="1">
      <c r="A122" s="1294">
        <v>11.1</v>
      </c>
      <c r="B122" s="1312" t="s">
        <v>153</v>
      </c>
      <c r="C122" s="1038"/>
      <c r="D122" s="1039"/>
      <c r="E122" s="1038"/>
      <c r="F122" s="1038"/>
      <c r="G122" s="1038"/>
      <c r="H122" s="1038"/>
      <c r="I122" s="1038"/>
      <c r="J122" s="1038"/>
      <c r="K122" s="1038"/>
      <c r="L122" s="1040"/>
      <c r="M122" s="1040"/>
      <c r="N122" s="1040"/>
      <c r="O122" s="1040"/>
      <c r="P122" s="1038"/>
      <c r="Q122" s="1038"/>
      <c r="R122" s="1038"/>
      <c r="S122" s="1038"/>
      <c r="T122" s="1038"/>
      <c r="U122" s="1038">
        <v>1</v>
      </c>
      <c r="V122" s="1038"/>
      <c r="W122" s="1038"/>
      <c r="X122" s="1038"/>
      <c r="Y122" s="1038"/>
      <c r="Z122" s="1038"/>
      <c r="AA122" s="1038">
        <f t="shared" si="6"/>
        <v>1</v>
      </c>
      <c r="AB122" s="1038" t="s">
        <v>53</v>
      </c>
      <c r="AC122" s="1038" t="s">
        <v>106</v>
      </c>
      <c r="AD122" s="1041" t="s">
        <v>32</v>
      </c>
      <c r="AE122" s="1042">
        <v>0.2</v>
      </c>
      <c r="AF122" s="1042">
        <v>0.2</v>
      </c>
      <c r="AG122" s="1042">
        <v>0.26</v>
      </c>
      <c r="AH122" s="1043">
        <f t="shared" si="7"/>
        <v>333450</v>
      </c>
    </row>
    <row r="123" spans="1:34" s="285" customFormat="1">
      <c r="A123" s="1294">
        <v>11.2</v>
      </c>
      <c r="B123" s="1312" t="s">
        <v>155</v>
      </c>
      <c r="C123" s="1294"/>
      <c r="D123" s="1295"/>
      <c r="E123" s="1294"/>
      <c r="F123" s="1294"/>
      <c r="G123" s="1294"/>
      <c r="H123" s="1294"/>
      <c r="I123" s="1294"/>
      <c r="J123" s="1294"/>
      <c r="K123" s="1294"/>
      <c r="L123" s="1296"/>
      <c r="M123" s="1296"/>
      <c r="N123" s="1296"/>
      <c r="O123" s="1296"/>
      <c r="P123" s="1294"/>
      <c r="Q123" s="1294"/>
      <c r="R123" s="1294"/>
      <c r="S123" s="1294"/>
      <c r="T123" s="1294"/>
      <c r="U123" s="1294">
        <v>1</v>
      </c>
      <c r="V123" s="1294"/>
      <c r="W123" s="1294"/>
      <c r="X123" s="1294"/>
      <c r="Y123" s="1294"/>
      <c r="Z123" s="1294"/>
      <c r="AA123" s="1294">
        <f t="shared" si="6"/>
        <v>1</v>
      </c>
      <c r="AB123" s="1294" t="s">
        <v>53</v>
      </c>
      <c r="AC123" s="1294" t="s">
        <v>106</v>
      </c>
      <c r="AD123" s="1297" t="s">
        <v>32</v>
      </c>
      <c r="AE123" s="1294">
        <v>0.15</v>
      </c>
      <c r="AF123" s="1294">
        <v>0.15</v>
      </c>
      <c r="AG123" s="1294">
        <v>0.19500000000000001</v>
      </c>
      <c r="AH123" s="1298">
        <f t="shared" si="7"/>
        <v>333450</v>
      </c>
    </row>
    <row r="124" spans="1:34" s="287" customFormat="1" ht="25.5">
      <c r="A124" s="1044" t="s">
        <v>184</v>
      </c>
      <c r="B124" s="1304" t="s">
        <v>611</v>
      </c>
      <c r="C124" s="1046"/>
      <c r="D124" s="1045"/>
      <c r="E124" s="1046"/>
      <c r="F124" s="1046"/>
      <c r="G124" s="1046"/>
      <c r="H124" s="1046"/>
      <c r="I124" s="1046"/>
      <c r="J124" s="1046"/>
      <c r="K124" s="1046"/>
      <c r="L124" s="1047"/>
      <c r="M124" s="1047"/>
      <c r="N124" s="1047"/>
      <c r="O124" s="1047"/>
      <c r="P124" s="1046"/>
      <c r="Q124" s="1046"/>
      <c r="R124" s="1046"/>
      <c r="S124" s="1046"/>
      <c r="T124" s="1046"/>
      <c r="U124" s="1046">
        <v>1</v>
      </c>
      <c r="V124" s="1046"/>
      <c r="W124" s="1046"/>
      <c r="X124" s="1046"/>
      <c r="Y124" s="1046"/>
      <c r="Z124" s="1046"/>
      <c r="AA124" s="1046">
        <f t="shared" si="6"/>
        <v>1</v>
      </c>
      <c r="AB124" s="1046" t="s">
        <v>53</v>
      </c>
      <c r="AC124" s="1046" t="s">
        <v>106</v>
      </c>
      <c r="AD124" s="1044" t="s">
        <v>32</v>
      </c>
      <c r="AE124" s="1048">
        <v>0.5</v>
      </c>
      <c r="AF124" s="1048">
        <v>0.5</v>
      </c>
      <c r="AG124" s="1048">
        <v>0.65</v>
      </c>
      <c r="AH124" s="1050">
        <f t="shared" si="7"/>
        <v>333450</v>
      </c>
    </row>
    <row r="125" spans="1:34" s="287" customFormat="1" ht="24" customHeight="1">
      <c r="A125" s="1044" t="s">
        <v>185</v>
      </c>
      <c r="B125" s="1304" t="s">
        <v>969</v>
      </c>
      <c r="C125" s="1046"/>
      <c r="D125" s="1045"/>
      <c r="E125" s="1046"/>
      <c r="F125" s="1046"/>
      <c r="G125" s="1046"/>
      <c r="H125" s="1046"/>
      <c r="I125" s="1046"/>
      <c r="J125" s="1046"/>
      <c r="K125" s="1046"/>
      <c r="L125" s="1047"/>
      <c r="M125" s="1047"/>
      <c r="N125" s="1047"/>
      <c r="O125" s="1047"/>
      <c r="P125" s="1046"/>
      <c r="Q125" s="1046"/>
      <c r="R125" s="1046"/>
      <c r="S125" s="1046"/>
      <c r="T125" s="1046"/>
      <c r="U125" s="1046"/>
      <c r="V125" s="1046"/>
      <c r="W125" s="1046"/>
      <c r="X125" s="1046"/>
      <c r="Y125" s="1046"/>
      <c r="Z125" s="1046"/>
      <c r="AA125" s="1046">
        <f t="shared" si="6"/>
        <v>0</v>
      </c>
      <c r="AB125" s="1046"/>
      <c r="AC125" s="1046"/>
      <c r="AD125" s="1046"/>
      <c r="AE125" s="1046"/>
      <c r="AF125" s="1046"/>
      <c r="AG125" s="1046"/>
      <c r="AH125" s="1050">
        <f t="shared" si="7"/>
        <v>0</v>
      </c>
    </row>
    <row r="126" spans="1:34" s="285" customFormat="1">
      <c r="A126" s="1297" t="s">
        <v>227</v>
      </c>
      <c r="B126" s="1312" t="s">
        <v>153</v>
      </c>
      <c r="C126" s="1294"/>
      <c r="D126" s="1295"/>
      <c r="E126" s="1294"/>
      <c r="F126" s="1294"/>
      <c r="G126" s="1294"/>
      <c r="H126" s="1294"/>
      <c r="I126" s="1294"/>
      <c r="J126" s="1294"/>
      <c r="K126" s="1294"/>
      <c r="L126" s="1296"/>
      <c r="M126" s="1296"/>
      <c r="N126" s="1296"/>
      <c r="O126" s="1296"/>
      <c r="P126" s="1294"/>
      <c r="Q126" s="1294"/>
      <c r="R126" s="1294"/>
      <c r="S126" s="1294"/>
      <c r="T126" s="1294"/>
      <c r="U126" s="1294">
        <v>1</v>
      </c>
      <c r="V126" s="1294"/>
      <c r="W126" s="1294"/>
      <c r="X126" s="1294"/>
      <c r="Y126" s="1294"/>
      <c r="Z126" s="1294"/>
      <c r="AA126" s="1294">
        <f t="shared" si="6"/>
        <v>1</v>
      </c>
      <c r="AB126" s="1294" t="s">
        <v>53</v>
      </c>
      <c r="AC126" s="1294" t="s">
        <v>106</v>
      </c>
      <c r="AD126" s="1297" t="s">
        <v>32</v>
      </c>
      <c r="AE126" s="1294">
        <v>0.05</v>
      </c>
      <c r="AF126" s="1294">
        <v>0.05</v>
      </c>
      <c r="AG126" s="1294">
        <v>6.5000000000000002E-2</v>
      </c>
      <c r="AH126" s="1298">
        <f t="shared" si="7"/>
        <v>333450</v>
      </c>
    </row>
    <row r="127" spans="1:34" s="285" customFormat="1">
      <c r="A127" s="1297" t="s">
        <v>228</v>
      </c>
      <c r="B127" s="1312" t="s">
        <v>155</v>
      </c>
      <c r="C127" s="1294"/>
      <c r="D127" s="1295"/>
      <c r="E127" s="1294"/>
      <c r="F127" s="1294"/>
      <c r="G127" s="1294"/>
      <c r="H127" s="1294"/>
      <c r="I127" s="1294"/>
      <c r="J127" s="1294"/>
      <c r="K127" s="1294"/>
      <c r="L127" s="1296"/>
      <c r="M127" s="1296"/>
      <c r="N127" s="1296"/>
      <c r="O127" s="1296"/>
      <c r="P127" s="1294"/>
      <c r="Q127" s="1294"/>
      <c r="R127" s="1294"/>
      <c r="S127" s="1294"/>
      <c r="T127" s="1294"/>
      <c r="U127" s="1294">
        <v>1</v>
      </c>
      <c r="V127" s="1294"/>
      <c r="W127" s="1294"/>
      <c r="X127" s="1294"/>
      <c r="Y127" s="1294"/>
      <c r="Z127" s="1294"/>
      <c r="AA127" s="1294">
        <f t="shared" si="6"/>
        <v>1</v>
      </c>
      <c r="AB127" s="1294" t="s">
        <v>53</v>
      </c>
      <c r="AC127" s="1294" t="s">
        <v>106</v>
      </c>
      <c r="AD127" s="1297" t="s">
        <v>32</v>
      </c>
      <c r="AE127" s="1294">
        <v>2.5000000000000001E-2</v>
      </c>
      <c r="AF127" s="1294">
        <v>2.5000000000000001E-2</v>
      </c>
      <c r="AG127" s="1294">
        <v>3.3000000000000002E-2</v>
      </c>
      <c r="AH127" s="1298">
        <f t="shared" si="7"/>
        <v>333450</v>
      </c>
    </row>
    <row r="128" spans="1:34" s="287" customFormat="1">
      <c r="A128" s="1044" t="s">
        <v>187</v>
      </c>
      <c r="B128" s="1045" t="s">
        <v>643</v>
      </c>
      <c r="C128" s="1046"/>
      <c r="D128" s="1045"/>
      <c r="E128" s="1046"/>
      <c r="F128" s="1046"/>
      <c r="G128" s="1046"/>
      <c r="H128" s="1046"/>
      <c r="I128" s="1046"/>
      <c r="J128" s="1046"/>
      <c r="K128" s="1046"/>
      <c r="L128" s="1047"/>
      <c r="M128" s="1047"/>
      <c r="N128" s="1047"/>
      <c r="O128" s="1047"/>
      <c r="P128" s="1046"/>
      <c r="Q128" s="1046"/>
      <c r="R128" s="1046"/>
      <c r="S128" s="1046"/>
      <c r="T128" s="1046"/>
      <c r="U128" s="1046">
        <v>1</v>
      </c>
      <c r="V128" s="1046"/>
      <c r="W128" s="1046"/>
      <c r="X128" s="1046"/>
      <c r="Y128" s="1046"/>
      <c r="Z128" s="1046"/>
      <c r="AA128" s="1046">
        <f t="shared" si="6"/>
        <v>1</v>
      </c>
      <c r="AB128" s="1046" t="s">
        <v>53</v>
      </c>
      <c r="AC128" s="1046" t="s">
        <v>106</v>
      </c>
      <c r="AD128" s="1044" t="s">
        <v>32</v>
      </c>
      <c r="AE128" s="1046">
        <v>0.05</v>
      </c>
      <c r="AF128" s="1046">
        <v>0.05</v>
      </c>
      <c r="AG128" s="1046">
        <v>0.05</v>
      </c>
      <c r="AH128" s="1050">
        <f t="shared" si="7"/>
        <v>333450</v>
      </c>
    </row>
    <row r="129" spans="1:34" s="287" customFormat="1" ht="38.25">
      <c r="A129" s="1036" t="s">
        <v>194</v>
      </c>
      <c r="B129" s="986" t="s">
        <v>644</v>
      </c>
      <c r="C129" s="987"/>
      <c r="D129" s="986"/>
      <c r="E129" s="987"/>
      <c r="F129" s="987"/>
      <c r="G129" s="987"/>
      <c r="H129" s="987"/>
      <c r="I129" s="987"/>
      <c r="J129" s="987"/>
      <c r="K129" s="987"/>
      <c r="L129" s="988"/>
      <c r="M129" s="988"/>
      <c r="N129" s="988"/>
      <c r="O129" s="988"/>
      <c r="P129" s="987"/>
      <c r="Q129" s="987"/>
      <c r="R129" s="987"/>
      <c r="S129" s="987"/>
      <c r="T129" s="987">
        <v>1</v>
      </c>
      <c r="U129" s="987"/>
      <c r="V129" s="987"/>
      <c r="W129" s="987"/>
      <c r="X129" s="987"/>
      <c r="Y129" s="987"/>
      <c r="Z129" s="987"/>
      <c r="AA129" s="987">
        <f t="shared" si="6"/>
        <v>1</v>
      </c>
      <c r="AB129" s="987" t="s">
        <v>53</v>
      </c>
      <c r="AC129" s="987" t="s">
        <v>69</v>
      </c>
      <c r="AD129" s="1036" t="s">
        <v>32</v>
      </c>
      <c r="AE129" s="988">
        <v>0.2</v>
      </c>
      <c r="AF129" s="988">
        <v>0.2</v>
      </c>
      <c r="AG129" s="988">
        <v>0.2</v>
      </c>
      <c r="AH129" s="989">
        <f t="shared" si="7"/>
        <v>296770.5</v>
      </c>
    </row>
    <row r="130" spans="1:34" s="638" customFormat="1" ht="51">
      <c r="A130" s="1046">
        <v>16</v>
      </c>
      <c r="B130" s="986" t="s">
        <v>658</v>
      </c>
      <c r="C130" s="987"/>
      <c r="D130" s="986"/>
      <c r="E130" s="987"/>
      <c r="F130" s="987"/>
      <c r="G130" s="987"/>
      <c r="H130" s="987"/>
      <c r="I130" s="987"/>
      <c r="J130" s="987"/>
      <c r="K130" s="987"/>
      <c r="L130" s="988"/>
      <c r="M130" s="988"/>
      <c r="N130" s="988"/>
      <c r="O130" s="988"/>
      <c r="P130" s="987"/>
      <c r="Q130" s="987"/>
      <c r="R130" s="987"/>
      <c r="S130" s="987"/>
      <c r="T130" s="987">
        <v>1</v>
      </c>
      <c r="U130" s="987"/>
      <c r="V130" s="987"/>
      <c r="W130" s="987"/>
      <c r="X130" s="987"/>
      <c r="Y130" s="987"/>
      <c r="Z130" s="987"/>
      <c r="AA130" s="987">
        <f t="shared" si="6"/>
        <v>1</v>
      </c>
      <c r="AB130" s="987" t="s">
        <v>53</v>
      </c>
      <c r="AC130" s="987" t="s">
        <v>69</v>
      </c>
      <c r="AD130" s="1036" t="s">
        <v>32</v>
      </c>
      <c r="AE130" s="987">
        <v>0.05</v>
      </c>
      <c r="AF130" s="987">
        <v>0.05</v>
      </c>
      <c r="AG130" s="987">
        <v>0.05</v>
      </c>
      <c r="AH130" s="989">
        <f t="shared" si="7"/>
        <v>296770.5</v>
      </c>
    </row>
    <row r="131" spans="1:34" s="638" customFormat="1" ht="38.25">
      <c r="A131" s="1036" t="s">
        <v>210</v>
      </c>
      <c r="B131" s="986" t="s">
        <v>646</v>
      </c>
      <c r="C131" s="987"/>
      <c r="D131" s="986"/>
      <c r="E131" s="987"/>
      <c r="F131" s="987"/>
      <c r="G131" s="987"/>
      <c r="H131" s="987"/>
      <c r="I131" s="987"/>
      <c r="J131" s="987"/>
      <c r="K131" s="987"/>
      <c r="L131" s="988"/>
      <c r="M131" s="988"/>
      <c r="N131" s="988"/>
      <c r="O131" s="988"/>
      <c r="P131" s="987"/>
      <c r="Q131" s="987"/>
      <c r="R131" s="987"/>
      <c r="S131" s="987"/>
      <c r="T131" s="987">
        <v>1</v>
      </c>
      <c r="U131" s="987"/>
      <c r="V131" s="987"/>
      <c r="W131" s="987"/>
      <c r="X131" s="987"/>
      <c r="Y131" s="987"/>
      <c r="Z131" s="987"/>
      <c r="AA131" s="987">
        <f t="shared" si="6"/>
        <v>1</v>
      </c>
      <c r="AB131" s="987" t="s">
        <v>53</v>
      </c>
      <c r="AC131" s="987" t="s">
        <v>69</v>
      </c>
      <c r="AD131" s="1036" t="s">
        <v>32</v>
      </c>
      <c r="AE131" s="987">
        <v>0.05</v>
      </c>
      <c r="AF131" s="987">
        <v>0.05</v>
      </c>
      <c r="AG131" s="987">
        <v>0.05</v>
      </c>
      <c r="AH131" s="989">
        <f t="shared" si="7"/>
        <v>296770.5</v>
      </c>
    </row>
    <row r="132" spans="1:34" s="287" customFormat="1">
      <c r="A132" s="1046">
        <v>18</v>
      </c>
      <c r="B132" s="986" t="s">
        <v>643</v>
      </c>
      <c r="C132" s="987"/>
      <c r="D132" s="986"/>
      <c r="E132" s="987"/>
      <c r="F132" s="987"/>
      <c r="G132" s="987"/>
      <c r="H132" s="987"/>
      <c r="I132" s="987"/>
      <c r="J132" s="987"/>
      <c r="K132" s="987"/>
      <c r="L132" s="988"/>
      <c r="M132" s="988"/>
      <c r="N132" s="988"/>
      <c r="O132" s="988"/>
      <c r="P132" s="987"/>
      <c r="Q132" s="987"/>
      <c r="R132" s="987"/>
      <c r="S132" s="987"/>
      <c r="T132" s="987"/>
      <c r="U132" s="987">
        <v>1</v>
      </c>
      <c r="V132" s="987"/>
      <c r="W132" s="987"/>
      <c r="X132" s="987"/>
      <c r="Y132" s="987"/>
      <c r="Z132" s="987"/>
      <c r="AA132" s="987">
        <f t="shared" si="6"/>
        <v>1</v>
      </c>
      <c r="AB132" s="987" t="s">
        <v>53</v>
      </c>
      <c r="AC132" s="987" t="s">
        <v>106</v>
      </c>
      <c r="AD132" s="1036" t="s">
        <v>32</v>
      </c>
      <c r="AE132" s="987">
        <v>0.05</v>
      </c>
      <c r="AF132" s="987">
        <v>0.05</v>
      </c>
      <c r="AG132" s="987">
        <v>0.5</v>
      </c>
      <c r="AH132" s="989">
        <f t="shared" si="7"/>
        <v>333450</v>
      </c>
    </row>
    <row r="133" spans="1:34" s="1314" customFormat="1" ht="38.25">
      <c r="A133" s="1046">
        <v>19</v>
      </c>
      <c r="B133" s="986" t="s">
        <v>647</v>
      </c>
      <c r="C133" s="1313"/>
      <c r="D133" s="1313"/>
      <c r="E133" s="1313"/>
      <c r="F133" s="1313"/>
      <c r="G133" s="1313"/>
      <c r="H133" s="1313"/>
      <c r="I133" s="1313"/>
      <c r="J133" s="1313"/>
      <c r="K133" s="1313"/>
      <c r="L133" s="1313"/>
      <c r="M133" s="1313"/>
      <c r="N133" s="1313"/>
      <c r="O133" s="1313"/>
      <c r="P133" s="1313"/>
      <c r="Q133" s="1313"/>
      <c r="R133" s="1313"/>
      <c r="S133" s="1313"/>
      <c r="T133" s="1313"/>
      <c r="U133" s="1313"/>
      <c r="V133" s="1313"/>
      <c r="W133" s="1313"/>
      <c r="X133" s="1313"/>
      <c r="Y133" s="1313"/>
      <c r="Z133" s="1313"/>
      <c r="AA133" s="1313"/>
      <c r="AB133" s="987"/>
      <c r="AC133" s="1313"/>
      <c r="AD133" s="1313"/>
      <c r="AE133" s="1313"/>
      <c r="AF133" s="1313"/>
      <c r="AG133" s="1313"/>
      <c r="AH133" s="1313"/>
    </row>
    <row r="134" spans="1:34" s="1316" customFormat="1" ht="26.45" customHeight="1">
      <c r="A134" s="1294">
        <v>19.100000000000001</v>
      </c>
      <c r="B134" s="1039" t="s">
        <v>594</v>
      </c>
      <c r="C134" s="1315"/>
      <c r="D134" s="1315"/>
      <c r="E134" s="1315"/>
      <c r="F134" s="1315"/>
      <c r="G134" s="1315"/>
      <c r="H134" s="1315"/>
      <c r="I134" s="1315"/>
      <c r="J134" s="1315"/>
      <c r="K134" s="1315"/>
      <c r="L134" s="1315"/>
      <c r="M134" s="1315"/>
      <c r="N134" s="1315"/>
      <c r="O134" s="1315"/>
      <c r="P134" s="1315"/>
      <c r="Q134" s="1315"/>
      <c r="R134" s="1315"/>
      <c r="S134" s="1315"/>
      <c r="T134" s="1038"/>
      <c r="U134" s="1038">
        <v>1</v>
      </c>
      <c r="V134" s="1315"/>
      <c r="W134" s="1315"/>
      <c r="X134" s="1315"/>
      <c r="Y134" s="1315"/>
      <c r="Z134" s="1315"/>
      <c r="AA134" s="1038">
        <f>SUM(C134:Z134)</f>
        <v>1</v>
      </c>
      <c r="AB134" s="1038" t="s">
        <v>53</v>
      </c>
      <c r="AC134" s="1038" t="s">
        <v>106</v>
      </c>
      <c r="AD134" s="1041" t="s">
        <v>32</v>
      </c>
      <c r="AE134" s="1040">
        <v>0.1</v>
      </c>
      <c r="AF134" s="1040">
        <v>0.1</v>
      </c>
      <c r="AG134" s="1040">
        <v>0.13</v>
      </c>
      <c r="AH134" s="1043">
        <f t="shared" si="7"/>
        <v>333450</v>
      </c>
    </row>
    <row r="135" spans="1:34" s="1316" customFormat="1" ht="26.45" customHeight="1">
      <c r="A135" s="1294">
        <v>19.2</v>
      </c>
      <c r="B135" s="1039" t="s">
        <v>595</v>
      </c>
      <c r="C135" s="1315"/>
      <c r="D135" s="1315"/>
      <c r="E135" s="1315"/>
      <c r="F135" s="1315"/>
      <c r="G135" s="1315"/>
      <c r="H135" s="1315"/>
      <c r="I135" s="1315"/>
      <c r="J135" s="1315"/>
      <c r="K135" s="1315"/>
      <c r="L135" s="1315"/>
      <c r="M135" s="1315"/>
      <c r="N135" s="1315"/>
      <c r="O135" s="1315"/>
      <c r="P135" s="1315"/>
      <c r="Q135" s="1315"/>
      <c r="R135" s="1315"/>
      <c r="S135" s="1315"/>
      <c r="T135" s="1038"/>
      <c r="U135" s="1038">
        <v>1</v>
      </c>
      <c r="V135" s="1315"/>
      <c r="W135" s="1315"/>
      <c r="X135" s="1315"/>
      <c r="Y135" s="1315"/>
      <c r="Z135" s="1315"/>
      <c r="AA135" s="1038">
        <f>SUM(C135:Z135)</f>
        <v>1</v>
      </c>
      <c r="AB135" s="1038" t="s">
        <v>53</v>
      </c>
      <c r="AC135" s="1038" t="s">
        <v>106</v>
      </c>
      <c r="AD135" s="1041" t="s">
        <v>32</v>
      </c>
      <c r="AE135" s="1040">
        <v>0.2</v>
      </c>
      <c r="AF135" s="1040">
        <v>0.2</v>
      </c>
      <c r="AG135" s="1040">
        <v>0.26</v>
      </c>
      <c r="AH135" s="1043">
        <f t="shared" si="7"/>
        <v>333450</v>
      </c>
    </row>
    <row r="136" spans="1:34" s="287" customFormat="1" ht="25.5">
      <c r="A136" s="1046">
        <v>20</v>
      </c>
      <c r="B136" s="986" t="s">
        <v>648</v>
      </c>
      <c r="C136" s="987"/>
      <c r="D136" s="986"/>
      <c r="E136" s="987"/>
      <c r="F136" s="987"/>
      <c r="G136" s="987"/>
      <c r="H136" s="987"/>
      <c r="I136" s="987"/>
      <c r="J136" s="987"/>
      <c r="K136" s="987"/>
      <c r="L136" s="988"/>
      <c r="M136" s="988"/>
      <c r="N136" s="988"/>
      <c r="O136" s="988"/>
      <c r="P136" s="987"/>
      <c r="Q136" s="987"/>
      <c r="R136" s="987"/>
      <c r="S136" s="987"/>
      <c r="T136" s="987"/>
      <c r="U136" s="987"/>
      <c r="V136" s="987"/>
      <c r="W136" s="987"/>
      <c r="X136" s="987"/>
      <c r="Y136" s="987"/>
      <c r="Z136" s="987"/>
      <c r="AA136" s="987">
        <f t="shared" ref="AA136:AA152" si="11">SUM(C136:Z136)</f>
        <v>0</v>
      </c>
      <c r="AB136" s="987"/>
      <c r="AC136" s="987"/>
      <c r="AD136" s="1036"/>
      <c r="AE136" s="987"/>
      <c r="AF136" s="987"/>
      <c r="AG136" s="987"/>
      <c r="AH136" s="989">
        <f t="shared" si="7"/>
        <v>0</v>
      </c>
    </row>
    <row r="137" spans="1:34" s="285" customFormat="1">
      <c r="A137" s="1294">
        <v>20.100000000000001</v>
      </c>
      <c r="B137" s="1039" t="s">
        <v>595</v>
      </c>
      <c r="C137" s="1038"/>
      <c r="D137" s="1039"/>
      <c r="E137" s="1038"/>
      <c r="F137" s="1038"/>
      <c r="G137" s="1038"/>
      <c r="H137" s="1038"/>
      <c r="I137" s="1038"/>
      <c r="J137" s="1038"/>
      <c r="K137" s="1038"/>
      <c r="L137" s="1040"/>
      <c r="M137" s="1040"/>
      <c r="N137" s="1040"/>
      <c r="O137" s="1040"/>
      <c r="P137" s="1038"/>
      <c r="Q137" s="1038"/>
      <c r="R137" s="1038"/>
      <c r="S137" s="1038"/>
      <c r="T137" s="1038"/>
      <c r="U137" s="1038">
        <v>1</v>
      </c>
      <c r="V137" s="1038"/>
      <c r="W137" s="1038"/>
      <c r="X137" s="1038"/>
      <c r="Y137" s="1038"/>
      <c r="Z137" s="1038"/>
      <c r="AA137" s="1038">
        <f t="shared" si="11"/>
        <v>1</v>
      </c>
      <c r="AB137" s="1038" t="s">
        <v>53</v>
      </c>
      <c r="AC137" s="1038" t="s">
        <v>106</v>
      </c>
      <c r="AD137" s="1041" t="s">
        <v>32</v>
      </c>
      <c r="AE137" s="1040">
        <v>0.1</v>
      </c>
      <c r="AF137" s="1040">
        <v>0.1</v>
      </c>
      <c r="AG137" s="1040">
        <v>0.13</v>
      </c>
      <c r="AH137" s="1043">
        <f t="shared" si="7"/>
        <v>333450</v>
      </c>
    </row>
    <row r="138" spans="1:34" s="285" customFormat="1" ht="18" customHeight="1">
      <c r="A138" s="1294">
        <v>20.2</v>
      </c>
      <c r="B138" s="1295" t="s">
        <v>594</v>
      </c>
      <c r="C138" s="1294"/>
      <c r="D138" s="1295"/>
      <c r="E138" s="1294"/>
      <c r="F138" s="1294"/>
      <c r="G138" s="1294"/>
      <c r="H138" s="1294"/>
      <c r="I138" s="1294"/>
      <c r="J138" s="1294"/>
      <c r="K138" s="1294"/>
      <c r="L138" s="1296"/>
      <c r="M138" s="1296"/>
      <c r="N138" s="1296"/>
      <c r="O138" s="1296"/>
      <c r="P138" s="1294"/>
      <c r="Q138" s="1294"/>
      <c r="R138" s="1294"/>
      <c r="S138" s="1294"/>
      <c r="T138" s="1294"/>
      <c r="U138" s="1294">
        <v>1</v>
      </c>
      <c r="V138" s="1294"/>
      <c r="W138" s="1294"/>
      <c r="X138" s="1294"/>
      <c r="Y138" s="1294"/>
      <c r="Z138" s="1294"/>
      <c r="AA138" s="1294">
        <f t="shared" si="11"/>
        <v>1</v>
      </c>
      <c r="AB138" s="1294" t="s">
        <v>53</v>
      </c>
      <c r="AC138" s="1294" t="s">
        <v>106</v>
      </c>
      <c r="AD138" s="1297" t="s">
        <v>32</v>
      </c>
      <c r="AE138" s="1296">
        <v>0.2</v>
      </c>
      <c r="AF138" s="1296">
        <v>0.2</v>
      </c>
      <c r="AG138" s="1296">
        <v>0.26</v>
      </c>
      <c r="AH138" s="1298">
        <f t="shared" si="7"/>
        <v>333450</v>
      </c>
    </row>
    <row r="139" spans="1:34" s="285" customFormat="1" ht="25.5">
      <c r="A139" s="1046">
        <v>21</v>
      </c>
      <c r="B139" s="1045" t="s">
        <v>619</v>
      </c>
      <c r="C139" s="1046"/>
      <c r="D139" s="1045"/>
      <c r="E139" s="1046"/>
      <c r="F139" s="1046"/>
      <c r="G139" s="1046"/>
      <c r="H139" s="1046"/>
      <c r="I139" s="1046"/>
      <c r="J139" s="1046"/>
      <c r="K139" s="1046"/>
      <c r="L139" s="1047"/>
      <c r="M139" s="1047"/>
      <c r="N139" s="1047"/>
      <c r="O139" s="1047"/>
      <c r="P139" s="1046"/>
      <c r="Q139" s="1046"/>
      <c r="R139" s="1046"/>
      <c r="S139" s="1046"/>
      <c r="T139" s="1046"/>
      <c r="U139" s="1046">
        <v>1</v>
      </c>
      <c r="V139" s="1046"/>
      <c r="W139" s="1046"/>
      <c r="X139" s="1046"/>
      <c r="Y139" s="1046"/>
      <c r="Z139" s="1046"/>
      <c r="AA139" s="1046">
        <f t="shared" si="11"/>
        <v>1</v>
      </c>
      <c r="AB139" s="1046" t="s">
        <v>53</v>
      </c>
      <c r="AC139" s="1046" t="s">
        <v>106</v>
      </c>
      <c r="AD139" s="1044" t="s">
        <v>32</v>
      </c>
      <c r="AE139" s="1047">
        <v>0.03</v>
      </c>
      <c r="AF139" s="1047">
        <v>0.03</v>
      </c>
      <c r="AG139" s="1047">
        <v>0.03</v>
      </c>
      <c r="AH139" s="1050">
        <f t="shared" si="7"/>
        <v>333450</v>
      </c>
    </row>
    <row r="140" spans="1:34" s="285" customFormat="1">
      <c r="A140" s="1046">
        <v>22</v>
      </c>
      <c r="B140" s="1045" t="s">
        <v>178</v>
      </c>
      <c r="C140" s="1046"/>
      <c r="D140" s="1045"/>
      <c r="E140" s="1046"/>
      <c r="F140" s="1046"/>
      <c r="G140" s="1046"/>
      <c r="H140" s="1046"/>
      <c r="I140" s="1046"/>
      <c r="J140" s="1046"/>
      <c r="K140" s="1046"/>
      <c r="L140" s="1047"/>
      <c r="M140" s="1047"/>
      <c r="N140" s="1047"/>
      <c r="O140" s="1047"/>
      <c r="P140" s="1046"/>
      <c r="Q140" s="1046"/>
      <c r="R140" s="1046"/>
      <c r="S140" s="1046"/>
      <c r="T140" s="1046"/>
      <c r="U140" s="1046">
        <v>1</v>
      </c>
      <c r="V140" s="1046"/>
      <c r="W140" s="1046"/>
      <c r="X140" s="1046"/>
      <c r="Y140" s="1046"/>
      <c r="Z140" s="1046"/>
      <c r="AA140" s="1046">
        <f t="shared" si="11"/>
        <v>1</v>
      </c>
      <c r="AB140" s="1305" t="s">
        <v>144</v>
      </c>
      <c r="AC140" s="1046" t="s">
        <v>106</v>
      </c>
      <c r="AD140" s="1044" t="s">
        <v>32</v>
      </c>
      <c r="AE140" s="1047">
        <v>0.2</v>
      </c>
      <c r="AF140" s="1047">
        <v>0.2</v>
      </c>
      <c r="AG140" s="1047">
        <v>0.2</v>
      </c>
      <c r="AH140" s="1050">
        <f t="shared" si="7"/>
        <v>333450</v>
      </c>
    </row>
    <row r="141" spans="1:34" s="287" customFormat="1">
      <c r="A141" s="1046">
        <v>23</v>
      </c>
      <c r="B141" s="1045" t="s">
        <v>179</v>
      </c>
      <c r="C141" s="1046"/>
      <c r="D141" s="1045"/>
      <c r="E141" s="1046"/>
      <c r="F141" s="1046"/>
      <c r="G141" s="1046"/>
      <c r="H141" s="1046"/>
      <c r="I141" s="1046"/>
      <c r="J141" s="1046"/>
      <c r="K141" s="1046"/>
      <c r="L141" s="1047"/>
      <c r="M141" s="1047"/>
      <c r="N141" s="1047"/>
      <c r="O141" s="1047"/>
      <c r="P141" s="1046"/>
      <c r="Q141" s="1046"/>
      <c r="R141" s="1046"/>
      <c r="S141" s="1046"/>
      <c r="T141" s="1046"/>
      <c r="U141" s="1046"/>
      <c r="V141" s="1046"/>
      <c r="W141" s="1046"/>
      <c r="X141" s="1046"/>
      <c r="Y141" s="1046"/>
      <c r="Z141" s="1046"/>
      <c r="AA141" s="1046">
        <f t="shared" si="11"/>
        <v>0</v>
      </c>
      <c r="AB141" s="1046"/>
      <c r="AC141" s="1046"/>
      <c r="AD141" s="1046"/>
      <c r="AE141" s="1046"/>
      <c r="AF141" s="1046"/>
      <c r="AG141" s="1046"/>
      <c r="AH141" s="1050">
        <f t="shared" si="7"/>
        <v>0</v>
      </c>
    </row>
    <row r="142" spans="1:34" s="285" customFormat="1">
      <c r="A142" s="1294">
        <v>23.1</v>
      </c>
      <c r="B142" s="1295" t="s">
        <v>659</v>
      </c>
      <c r="C142" s="1294"/>
      <c r="D142" s="1295"/>
      <c r="E142" s="1294"/>
      <c r="F142" s="1294"/>
      <c r="G142" s="1294"/>
      <c r="H142" s="1294"/>
      <c r="I142" s="1294"/>
      <c r="J142" s="1294"/>
      <c r="K142" s="1294"/>
      <c r="L142" s="1296"/>
      <c r="M142" s="1296"/>
      <c r="N142" s="1296"/>
      <c r="O142" s="1296"/>
      <c r="P142" s="1294"/>
      <c r="Q142" s="1294"/>
      <c r="R142" s="1294"/>
      <c r="S142" s="1294"/>
      <c r="T142" s="1294">
        <v>1</v>
      </c>
      <c r="U142" s="1294"/>
      <c r="V142" s="1294"/>
      <c r="W142" s="1294"/>
      <c r="X142" s="1294"/>
      <c r="Y142" s="1294"/>
      <c r="Z142" s="1294"/>
      <c r="AA142" s="1294">
        <f t="shared" si="11"/>
        <v>1</v>
      </c>
      <c r="AB142" s="1294" t="s">
        <v>53</v>
      </c>
      <c r="AC142" s="1294" t="s">
        <v>69</v>
      </c>
      <c r="AD142" s="1297" t="s">
        <v>32</v>
      </c>
      <c r="AE142" s="1296">
        <v>0.1</v>
      </c>
      <c r="AF142" s="1296">
        <v>0.1</v>
      </c>
      <c r="AG142" s="1296">
        <v>0.1</v>
      </c>
      <c r="AH142" s="1298">
        <f t="shared" si="7"/>
        <v>296770.5</v>
      </c>
    </row>
    <row r="143" spans="1:34" s="285" customFormat="1">
      <c r="A143" s="1294">
        <v>23.2</v>
      </c>
      <c r="B143" s="1295" t="s">
        <v>182</v>
      </c>
      <c r="C143" s="1294"/>
      <c r="D143" s="1295"/>
      <c r="E143" s="1294"/>
      <c r="F143" s="1294"/>
      <c r="G143" s="1294"/>
      <c r="H143" s="1294"/>
      <c r="I143" s="1294"/>
      <c r="J143" s="1294"/>
      <c r="K143" s="1294"/>
      <c r="L143" s="1296"/>
      <c r="M143" s="1296"/>
      <c r="N143" s="1296"/>
      <c r="O143" s="1296"/>
      <c r="P143" s="1294"/>
      <c r="Q143" s="1294"/>
      <c r="R143" s="1294"/>
      <c r="S143" s="1294"/>
      <c r="T143" s="1294">
        <v>1</v>
      </c>
      <c r="U143" s="1294"/>
      <c r="V143" s="1294"/>
      <c r="W143" s="1294"/>
      <c r="X143" s="1294"/>
      <c r="Y143" s="1294"/>
      <c r="Z143" s="1294"/>
      <c r="AA143" s="1294">
        <f t="shared" si="11"/>
        <v>1</v>
      </c>
      <c r="AB143" s="1294" t="s">
        <v>53</v>
      </c>
      <c r="AC143" s="1294" t="s">
        <v>69</v>
      </c>
      <c r="AD143" s="1297" t="s">
        <v>32</v>
      </c>
      <c r="AE143" s="1296">
        <v>0.15</v>
      </c>
      <c r="AF143" s="1296">
        <v>0.15</v>
      </c>
      <c r="AG143" s="1296">
        <v>0.2</v>
      </c>
      <c r="AH143" s="1298">
        <f t="shared" si="7"/>
        <v>296770.5</v>
      </c>
    </row>
    <row r="144" spans="1:34" s="285" customFormat="1" ht="26.25" customHeight="1">
      <c r="A144" s="1046">
        <v>24</v>
      </c>
      <c r="B144" s="1304" t="s">
        <v>649</v>
      </c>
      <c r="C144" s="1046"/>
      <c r="D144" s="1045"/>
      <c r="E144" s="1046"/>
      <c r="F144" s="1046"/>
      <c r="G144" s="1046"/>
      <c r="H144" s="1046"/>
      <c r="I144" s="1046"/>
      <c r="J144" s="1046"/>
      <c r="K144" s="1046"/>
      <c r="L144" s="1047"/>
      <c r="M144" s="1047"/>
      <c r="N144" s="1047"/>
      <c r="O144" s="1047"/>
      <c r="P144" s="1046"/>
      <c r="Q144" s="1046"/>
      <c r="R144" s="1046"/>
      <c r="S144" s="1046"/>
      <c r="T144" s="1046"/>
      <c r="U144" s="1046">
        <v>1</v>
      </c>
      <c r="V144" s="1046"/>
      <c r="W144" s="1046"/>
      <c r="X144" s="1046"/>
      <c r="Y144" s="1046"/>
      <c r="Z144" s="1046"/>
      <c r="AA144" s="1046">
        <f>SUM(C144:Z144)</f>
        <v>1</v>
      </c>
      <c r="AB144" s="1046" t="s">
        <v>53</v>
      </c>
      <c r="AC144" s="1046" t="s">
        <v>106</v>
      </c>
      <c r="AD144" s="1044" t="s">
        <v>32</v>
      </c>
      <c r="AE144" s="1046">
        <v>0.05</v>
      </c>
      <c r="AF144" s="1046">
        <v>0.05</v>
      </c>
      <c r="AG144" s="1046">
        <v>0.05</v>
      </c>
      <c r="AH144" s="1050">
        <f>(C144*C$6+D144*D$6+E144*E$6+F144*F$6+G144*G$6+H144*H$6+I144*I$6+J144*J$6+K144*K$6+L144*L$6+M144*M$6+N144*N$6+O144*O$6+P144*P$6+Q144*Q$6+R144*R$6+S144*S$6+T144*T$6+U144*U$6+V144*V$6+W144*W$6+X144*X$6+Y144*Y$6+Z144*Z$6)</f>
        <v>333450</v>
      </c>
    </row>
    <row r="145" spans="1:34" s="287" customFormat="1" ht="25.5">
      <c r="A145" s="1036" t="s">
        <v>310</v>
      </c>
      <c r="B145" s="986" t="s">
        <v>650</v>
      </c>
      <c r="C145" s="987"/>
      <c r="D145" s="986"/>
      <c r="E145" s="987"/>
      <c r="F145" s="987"/>
      <c r="G145" s="987"/>
      <c r="H145" s="987"/>
      <c r="I145" s="987"/>
      <c r="J145" s="987"/>
      <c r="K145" s="987"/>
      <c r="L145" s="988"/>
      <c r="M145" s="988"/>
      <c r="N145" s="988"/>
      <c r="O145" s="988"/>
      <c r="P145" s="987"/>
      <c r="Q145" s="987"/>
      <c r="R145" s="987"/>
      <c r="S145" s="987"/>
      <c r="T145" s="987">
        <v>1</v>
      </c>
      <c r="U145" s="987"/>
      <c r="V145" s="987"/>
      <c r="W145" s="987"/>
      <c r="X145" s="987"/>
      <c r="Y145" s="987"/>
      <c r="Z145" s="987"/>
      <c r="AA145" s="987">
        <f t="shared" si="11"/>
        <v>1</v>
      </c>
      <c r="AB145" s="987" t="s">
        <v>53</v>
      </c>
      <c r="AC145" s="1305" t="s">
        <v>69</v>
      </c>
      <c r="AD145" s="1036" t="s">
        <v>32</v>
      </c>
      <c r="AE145" s="987">
        <v>0.1</v>
      </c>
      <c r="AF145" s="987">
        <v>0.1</v>
      </c>
      <c r="AG145" s="987">
        <v>0.1</v>
      </c>
      <c r="AH145" s="989">
        <f t="shared" si="7"/>
        <v>296770.5</v>
      </c>
    </row>
    <row r="146" spans="1:34" s="287" customFormat="1" ht="25.5">
      <c r="A146" s="1036" t="s">
        <v>312</v>
      </c>
      <c r="B146" s="986" t="s">
        <v>662</v>
      </c>
      <c r="C146" s="987"/>
      <c r="D146" s="986"/>
      <c r="E146" s="987"/>
      <c r="F146" s="987"/>
      <c r="G146" s="987"/>
      <c r="H146" s="987"/>
      <c r="I146" s="987"/>
      <c r="J146" s="987"/>
      <c r="K146" s="987"/>
      <c r="L146" s="988"/>
      <c r="M146" s="988"/>
      <c r="N146" s="988"/>
      <c r="O146" s="988"/>
      <c r="P146" s="987"/>
      <c r="Q146" s="987"/>
      <c r="R146" s="987"/>
      <c r="S146" s="987"/>
      <c r="T146" s="987"/>
      <c r="U146" s="987"/>
      <c r="V146" s="987"/>
      <c r="W146" s="987"/>
      <c r="X146" s="987"/>
      <c r="Y146" s="987"/>
      <c r="Z146" s="987"/>
      <c r="AA146" s="987"/>
      <c r="AB146" s="987"/>
      <c r="AC146" s="987"/>
      <c r="AD146" s="1036"/>
      <c r="AE146" s="987"/>
      <c r="AF146" s="987"/>
      <c r="AG146" s="987"/>
      <c r="AH146" s="989"/>
    </row>
    <row r="147" spans="1:34" s="287" customFormat="1">
      <c r="A147" s="1036" t="s">
        <v>660</v>
      </c>
      <c r="B147" s="986" t="s">
        <v>190</v>
      </c>
      <c r="C147" s="987"/>
      <c r="D147" s="986"/>
      <c r="E147" s="987"/>
      <c r="F147" s="987"/>
      <c r="G147" s="987"/>
      <c r="H147" s="987"/>
      <c r="I147" s="987"/>
      <c r="J147" s="987"/>
      <c r="K147" s="987"/>
      <c r="L147" s="988"/>
      <c r="M147" s="988"/>
      <c r="N147" s="988"/>
      <c r="O147" s="988"/>
      <c r="P147" s="987"/>
      <c r="Q147" s="987"/>
      <c r="R147" s="987"/>
      <c r="S147" s="987">
        <v>1</v>
      </c>
      <c r="T147" s="987"/>
      <c r="U147" s="987"/>
      <c r="V147" s="987"/>
      <c r="W147" s="987"/>
      <c r="X147" s="987"/>
      <c r="Y147" s="987"/>
      <c r="Z147" s="987"/>
      <c r="AA147" s="987">
        <f t="shared" si="11"/>
        <v>1</v>
      </c>
      <c r="AB147" s="987" t="s">
        <v>551</v>
      </c>
      <c r="AC147" s="987" t="s">
        <v>68</v>
      </c>
      <c r="AD147" s="1036" t="s">
        <v>32</v>
      </c>
      <c r="AE147" s="987">
        <v>1.6E-2</v>
      </c>
      <c r="AF147" s="987">
        <v>1.6E-2</v>
      </c>
      <c r="AG147" s="987">
        <v>0.02</v>
      </c>
      <c r="AH147" s="989">
        <f t="shared" si="7"/>
        <v>260091</v>
      </c>
    </row>
    <row r="148" spans="1:34" s="287" customFormat="1">
      <c r="A148" s="1036" t="s">
        <v>661</v>
      </c>
      <c r="B148" s="986" t="s">
        <v>191</v>
      </c>
      <c r="C148" s="987"/>
      <c r="D148" s="986"/>
      <c r="E148" s="987"/>
      <c r="F148" s="987"/>
      <c r="G148" s="987"/>
      <c r="H148" s="987"/>
      <c r="I148" s="987"/>
      <c r="J148" s="987"/>
      <c r="K148" s="987"/>
      <c r="L148" s="988"/>
      <c r="M148" s="988"/>
      <c r="N148" s="988"/>
      <c r="O148" s="988"/>
      <c r="P148" s="987"/>
      <c r="Q148" s="987"/>
      <c r="R148" s="987"/>
      <c r="S148" s="987">
        <v>1</v>
      </c>
      <c r="T148" s="987"/>
      <c r="U148" s="987"/>
      <c r="V148" s="987"/>
      <c r="W148" s="987"/>
      <c r="X148" s="987"/>
      <c r="Y148" s="987"/>
      <c r="Z148" s="987"/>
      <c r="AA148" s="987">
        <f t="shared" si="11"/>
        <v>1</v>
      </c>
      <c r="AB148" s="987" t="s">
        <v>551</v>
      </c>
      <c r="AC148" s="987" t="s">
        <v>68</v>
      </c>
      <c r="AD148" s="1036" t="s">
        <v>32</v>
      </c>
      <c r="AE148" s="987">
        <v>8.0000000000000002E-3</v>
      </c>
      <c r="AF148" s="987">
        <v>8.0000000000000002E-3</v>
      </c>
      <c r="AG148" s="987">
        <v>0.01</v>
      </c>
      <c r="AH148" s="989">
        <f t="shared" si="7"/>
        <v>260091</v>
      </c>
    </row>
    <row r="149" spans="1:34" s="287" customFormat="1" ht="38.25">
      <c r="A149" s="1036" t="s">
        <v>314</v>
      </c>
      <c r="B149" s="986" t="s">
        <v>192</v>
      </c>
      <c r="C149" s="987"/>
      <c r="D149" s="986"/>
      <c r="E149" s="987"/>
      <c r="F149" s="987"/>
      <c r="G149" s="987"/>
      <c r="H149" s="987"/>
      <c r="I149" s="987"/>
      <c r="J149" s="987"/>
      <c r="K149" s="987"/>
      <c r="L149" s="988"/>
      <c r="M149" s="988"/>
      <c r="N149" s="988"/>
      <c r="O149" s="988"/>
      <c r="P149" s="987"/>
      <c r="Q149" s="987"/>
      <c r="R149" s="987"/>
      <c r="S149" s="987">
        <v>1</v>
      </c>
      <c r="T149" s="987"/>
      <c r="U149" s="987"/>
      <c r="V149" s="987"/>
      <c r="W149" s="987"/>
      <c r="X149" s="987"/>
      <c r="Y149" s="987"/>
      <c r="Z149" s="987"/>
      <c r="AA149" s="987">
        <f t="shared" si="11"/>
        <v>1</v>
      </c>
      <c r="AB149" s="987" t="s">
        <v>551</v>
      </c>
      <c r="AC149" s="987" t="s">
        <v>68</v>
      </c>
      <c r="AD149" s="1036" t="s">
        <v>32</v>
      </c>
      <c r="AE149" s="987">
        <v>4.0000000000000001E-3</v>
      </c>
      <c r="AF149" s="987">
        <v>4.0000000000000001E-3</v>
      </c>
      <c r="AG149" s="987">
        <v>5.0000000000000001E-3</v>
      </c>
      <c r="AH149" s="989">
        <f t="shared" si="7"/>
        <v>260091</v>
      </c>
    </row>
    <row r="150" spans="1:34" s="287" customFormat="1" ht="25.5">
      <c r="A150" s="1036" t="s">
        <v>316</v>
      </c>
      <c r="B150" s="986" t="s">
        <v>193</v>
      </c>
      <c r="C150" s="987"/>
      <c r="D150" s="986"/>
      <c r="E150" s="987"/>
      <c r="F150" s="987"/>
      <c r="G150" s="987"/>
      <c r="H150" s="987"/>
      <c r="I150" s="987"/>
      <c r="J150" s="987"/>
      <c r="K150" s="987"/>
      <c r="L150" s="988"/>
      <c r="M150" s="988"/>
      <c r="N150" s="988"/>
      <c r="O150" s="988"/>
      <c r="P150" s="987"/>
      <c r="Q150" s="987"/>
      <c r="R150" s="987"/>
      <c r="S150" s="987">
        <v>1</v>
      </c>
      <c r="T150" s="987"/>
      <c r="U150" s="987"/>
      <c r="V150" s="987"/>
      <c r="W150" s="987"/>
      <c r="X150" s="987"/>
      <c r="Y150" s="987"/>
      <c r="Z150" s="987"/>
      <c r="AA150" s="987">
        <f t="shared" si="11"/>
        <v>1</v>
      </c>
      <c r="AB150" s="987" t="s">
        <v>1</v>
      </c>
      <c r="AC150" s="987" t="s">
        <v>68</v>
      </c>
      <c r="AD150" s="1036" t="s">
        <v>32</v>
      </c>
      <c r="AE150" s="987">
        <v>0.01</v>
      </c>
      <c r="AF150" s="987">
        <v>0.01</v>
      </c>
      <c r="AG150" s="987">
        <v>1.2999999999999999E-2</v>
      </c>
      <c r="AH150" s="989">
        <f t="shared" si="7"/>
        <v>260091</v>
      </c>
    </row>
    <row r="151" spans="1:34" s="287" customFormat="1" ht="51">
      <c r="A151" s="1036">
        <v>29</v>
      </c>
      <c r="B151" s="986" t="s">
        <v>654</v>
      </c>
      <c r="C151" s="987"/>
      <c r="D151" s="986"/>
      <c r="E151" s="987"/>
      <c r="F151" s="987"/>
      <c r="G151" s="987"/>
      <c r="H151" s="987"/>
      <c r="I151" s="987"/>
      <c r="J151" s="987"/>
      <c r="K151" s="987"/>
      <c r="L151" s="988"/>
      <c r="M151" s="988"/>
      <c r="N151" s="988"/>
      <c r="O151" s="988"/>
      <c r="P151" s="987"/>
      <c r="Q151" s="987"/>
      <c r="R151" s="987"/>
      <c r="S151" s="987"/>
      <c r="T151" s="987">
        <v>1</v>
      </c>
      <c r="U151" s="987"/>
      <c r="V151" s="987"/>
      <c r="W151" s="987"/>
      <c r="X151" s="987"/>
      <c r="Y151" s="987"/>
      <c r="Z151" s="987"/>
      <c r="AA151" s="987">
        <f t="shared" si="11"/>
        <v>1</v>
      </c>
      <c r="AB151" s="987" t="s">
        <v>53</v>
      </c>
      <c r="AC151" s="987" t="s">
        <v>69</v>
      </c>
      <c r="AD151" s="1036" t="s">
        <v>32</v>
      </c>
      <c r="AE151" s="987">
        <v>0.2</v>
      </c>
      <c r="AF151" s="987">
        <v>0.2</v>
      </c>
      <c r="AG151" s="987">
        <v>0.2</v>
      </c>
      <c r="AH151" s="989">
        <f>(C151*C$6+D151*D$6+E151*E$6+F151*F$6+G151*G$6+H151*H$6+I151*I$6+J151*J$6+K151*K$6+L151*L$6+M151*M$6+N151*N$6+O151*O$6+P151*P$6+Q151*Q$6+R151*R$6+S151*S$6+T151*T$6+U151*U$6+V151*V$6+W151*W$6+X151*X$6+Y151*Y$6+Z151*Z$6)</f>
        <v>296770.5</v>
      </c>
    </row>
    <row r="152" spans="1:34" s="287" customFormat="1" ht="38.25">
      <c r="A152" s="1036">
        <v>30</v>
      </c>
      <c r="B152" s="986" t="s">
        <v>655</v>
      </c>
      <c r="C152" s="987"/>
      <c r="D152" s="986"/>
      <c r="E152" s="987"/>
      <c r="F152" s="987"/>
      <c r="G152" s="987"/>
      <c r="H152" s="987"/>
      <c r="I152" s="987"/>
      <c r="J152" s="987"/>
      <c r="K152" s="987"/>
      <c r="L152" s="988"/>
      <c r="M152" s="988"/>
      <c r="N152" s="988"/>
      <c r="O152" s="988"/>
      <c r="P152" s="987"/>
      <c r="Q152" s="987"/>
      <c r="R152" s="987"/>
      <c r="S152" s="987"/>
      <c r="T152" s="987">
        <v>1</v>
      </c>
      <c r="U152" s="987"/>
      <c r="V152" s="987"/>
      <c r="W152" s="987"/>
      <c r="X152" s="987"/>
      <c r="Y152" s="987"/>
      <c r="Z152" s="987"/>
      <c r="AA152" s="987">
        <f t="shared" si="11"/>
        <v>1</v>
      </c>
      <c r="AB152" s="987" t="s">
        <v>53</v>
      </c>
      <c r="AC152" s="987" t="s">
        <v>69</v>
      </c>
      <c r="AD152" s="1036" t="s">
        <v>32</v>
      </c>
      <c r="AE152" s="987">
        <v>0.2</v>
      </c>
      <c r="AF152" s="987">
        <v>0.2</v>
      </c>
      <c r="AG152" s="987">
        <v>0.26</v>
      </c>
      <c r="AH152" s="989">
        <f>(C152*C$6+D152*D$6+E152*E$6+F152*F$6+G152*G$6+H152*H$6+I152*I$6+J152*J$6+K152*K$6+L152*L$6+M152*M$6+N152*N$6+O152*O$6+P152*P$6+Q152*Q$6+R152*R$6+S152*S$6+T152*T$6+U152*U$6+V152*V$6+W152*W$6+X152*X$6+Y152*Y$6+Z152*Z$6)</f>
        <v>296770.5</v>
      </c>
    </row>
    <row r="153" spans="1:34" s="86" customFormat="1" ht="26.45" customHeight="1">
      <c r="A153" s="951" t="s">
        <v>663</v>
      </c>
      <c r="B153" s="1391" t="s">
        <v>196</v>
      </c>
      <c r="C153" s="1391"/>
      <c r="D153" s="1391"/>
      <c r="E153" s="1391"/>
      <c r="F153" s="1391"/>
      <c r="G153" s="1391"/>
      <c r="H153" s="1391"/>
      <c r="I153" s="1391"/>
      <c r="J153" s="1391"/>
      <c r="K153" s="1391"/>
      <c r="L153" s="1391"/>
      <c r="M153" s="1391"/>
      <c r="N153" s="1391"/>
      <c r="O153" s="1391"/>
      <c r="P153" s="1391"/>
      <c r="Q153" s="1391"/>
      <c r="R153" s="1391"/>
      <c r="S153" s="1391"/>
      <c r="T153" s="1391"/>
      <c r="U153" s="1391"/>
      <c r="V153" s="1391"/>
      <c r="W153" s="1391"/>
      <c r="X153" s="1391"/>
      <c r="Y153" s="1391"/>
      <c r="Z153" s="1391"/>
      <c r="AA153" s="1391"/>
      <c r="AB153" s="1391"/>
      <c r="AC153" s="1391"/>
      <c r="AD153" s="1391"/>
      <c r="AE153" s="1391"/>
      <c r="AF153" s="301"/>
      <c r="AG153" s="301"/>
      <c r="AH153" s="301"/>
    </row>
    <row r="154" spans="1:34" s="287" customFormat="1" ht="38.25">
      <c r="A154" s="1044" t="s">
        <v>33</v>
      </c>
      <c r="B154" s="1045" t="s">
        <v>970</v>
      </c>
      <c r="C154" s="1046"/>
      <c r="D154" s="1045"/>
      <c r="E154" s="1046"/>
      <c r="F154" s="1046"/>
      <c r="G154" s="1046"/>
      <c r="H154" s="1046"/>
      <c r="I154" s="1046"/>
      <c r="J154" s="1046"/>
      <c r="K154" s="1046"/>
      <c r="L154" s="1047"/>
      <c r="M154" s="1047"/>
      <c r="N154" s="1047"/>
      <c r="O154" s="1047"/>
      <c r="P154" s="1046"/>
      <c r="Q154" s="1046"/>
      <c r="R154" s="1046"/>
      <c r="S154" s="1046"/>
      <c r="T154" s="1046"/>
      <c r="U154" s="1046">
        <v>1</v>
      </c>
      <c r="V154" s="1046"/>
      <c r="W154" s="1046"/>
      <c r="X154" s="1046"/>
      <c r="Y154" s="1046"/>
      <c r="Z154" s="1046"/>
      <c r="AA154" s="1046">
        <f>SUM(C154:Z154)</f>
        <v>1</v>
      </c>
      <c r="AB154" s="1046" t="s">
        <v>53</v>
      </c>
      <c r="AC154" s="1046" t="s">
        <v>106</v>
      </c>
      <c r="AD154" s="1036" t="s">
        <v>32</v>
      </c>
      <c r="AE154" s="1046">
        <v>0.2</v>
      </c>
      <c r="AF154" s="1046">
        <v>0.2</v>
      </c>
      <c r="AG154" s="1046">
        <v>0.26</v>
      </c>
      <c r="AH154" s="1050">
        <f>(C154*C$6+D154*D$6+E154*E$6+F154*F$6+G154*G$6+H154*H$6+I154*I$6+J154*J$6+K154*K$6+L154*L$6+M154*M$6+N154*N$6+O154*O$6+P154*P$6+Q154*Q$6+R154*R$6+S154*S$6+T154*T$6+U154*U$6+V154*V$6+W154*W$6+X154*X$6+Y154*Y$6+Z154*Z$6)</f>
        <v>333450</v>
      </c>
    </row>
    <row r="155" spans="1:34">
      <c r="A155" s="110" t="s">
        <v>713</v>
      </c>
      <c r="B155" s="456" t="s">
        <v>258</v>
      </c>
      <c r="C155" s="456"/>
      <c r="D155" s="456"/>
      <c r="E155" s="456"/>
      <c r="F155" s="456"/>
      <c r="G155" s="456"/>
      <c r="H155" s="456"/>
      <c r="I155" s="456"/>
      <c r="J155" s="456"/>
      <c r="K155" s="456"/>
      <c r="L155" s="456"/>
      <c r="M155" s="456"/>
      <c r="N155" s="456"/>
      <c r="O155" s="456"/>
      <c r="P155" s="456"/>
      <c r="Q155" s="456"/>
      <c r="R155" s="456"/>
      <c r="S155" s="456"/>
      <c r="T155" s="456"/>
      <c r="U155" s="456"/>
      <c r="V155" s="456"/>
      <c r="W155" s="456"/>
      <c r="X155" s="456"/>
      <c r="Y155" s="456"/>
      <c r="Z155" s="456"/>
      <c r="AA155" s="456"/>
      <c r="AB155" s="456"/>
      <c r="AC155" s="456"/>
      <c r="AD155" s="456"/>
      <c r="AE155" s="456"/>
      <c r="AF155" s="889"/>
      <c r="AG155" s="889"/>
      <c r="AH155" s="457"/>
    </row>
    <row r="156" spans="1:34" ht="33.6" customHeight="1">
      <c r="A156" s="82" t="s">
        <v>33</v>
      </c>
      <c r="B156" s="1403" t="s">
        <v>625</v>
      </c>
      <c r="C156" s="1404"/>
      <c r="D156" s="1404"/>
      <c r="E156" s="1404"/>
      <c r="F156" s="1404"/>
      <c r="G156" s="1404"/>
      <c r="H156" s="1404"/>
      <c r="I156" s="1404"/>
      <c r="J156" s="1404"/>
      <c r="K156" s="1404"/>
      <c r="L156" s="1404"/>
      <c r="M156" s="1404"/>
      <c r="N156" s="1404"/>
      <c r="O156" s="1404"/>
      <c r="P156" s="1404"/>
      <c r="Q156" s="1404"/>
      <c r="R156" s="1404"/>
      <c r="S156" s="1404"/>
      <c r="T156" s="1404"/>
      <c r="U156" s="1404"/>
      <c r="V156" s="1404"/>
      <c r="W156" s="1404"/>
      <c r="X156" s="1404"/>
      <c r="Y156" s="1404"/>
      <c r="Z156" s="1404"/>
      <c r="AA156" s="1404"/>
      <c r="AB156" s="1404"/>
      <c r="AC156" s="1404"/>
      <c r="AD156" s="1405"/>
      <c r="AE156" s="78"/>
      <c r="AF156" s="103"/>
      <c r="AG156" s="103"/>
      <c r="AH156" s="113"/>
    </row>
    <row r="157" spans="1:34" ht="36.6" customHeight="1">
      <c r="A157" s="82" t="s">
        <v>34</v>
      </c>
      <c r="B157" s="1403" t="s">
        <v>710</v>
      </c>
      <c r="C157" s="1404"/>
      <c r="D157" s="1404"/>
      <c r="E157" s="1404"/>
      <c r="F157" s="1404"/>
      <c r="G157" s="1404"/>
      <c r="H157" s="1404"/>
      <c r="I157" s="1404"/>
      <c r="J157" s="1404"/>
      <c r="K157" s="1404"/>
      <c r="L157" s="1404"/>
      <c r="M157" s="1404"/>
      <c r="N157" s="1404"/>
      <c r="O157" s="1404"/>
      <c r="P157" s="1404"/>
      <c r="Q157" s="1404"/>
      <c r="R157" s="1404"/>
      <c r="S157" s="1404"/>
      <c r="T157" s="1404"/>
      <c r="U157" s="1404"/>
      <c r="V157" s="1404"/>
      <c r="W157" s="1404"/>
      <c r="X157" s="1404"/>
      <c r="Y157" s="1404"/>
      <c r="Z157" s="1404"/>
      <c r="AA157" s="1404"/>
      <c r="AB157" s="1404"/>
      <c r="AC157" s="1404"/>
      <c r="AD157" s="1405"/>
      <c r="AE157" s="79" t="s">
        <v>567</v>
      </c>
      <c r="AF157" s="79" t="s">
        <v>567</v>
      </c>
      <c r="AG157" s="79" t="s">
        <v>354</v>
      </c>
      <c r="AH157" s="113"/>
    </row>
    <row r="158" spans="1:34" ht="27" customHeight="1">
      <c r="A158" s="82" t="s">
        <v>35</v>
      </c>
      <c r="B158" s="1403" t="s">
        <v>711</v>
      </c>
      <c r="C158" s="1404"/>
      <c r="D158" s="1404"/>
      <c r="E158" s="1404"/>
      <c r="F158" s="1404"/>
      <c r="G158" s="1404"/>
      <c r="H158" s="1404"/>
      <c r="I158" s="1404"/>
      <c r="J158" s="1404"/>
      <c r="K158" s="1404"/>
      <c r="L158" s="1404"/>
      <c r="M158" s="1404"/>
      <c r="N158" s="1404"/>
      <c r="O158" s="1404"/>
      <c r="P158" s="1404"/>
      <c r="Q158" s="1404"/>
      <c r="R158" s="1404"/>
      <c r="S158" s="1404"/>
      <c r="T158" s="1404"/>
      <c r="U158" s="1404"/>
      <c r="V158" s="1404"/>
      <c r="W158" s="1404"/>
      <c r="X158" s="1404"/>
      <c r="Y158" s="1404"/>
      <c r="Z158" s="1404"/>
      <c r="AA158" s="1404"/>
      <c r="AB158" s="1404"/>
      <c r="AC158" s="1404"/>
      <c r="AD158" s="1405"/>
      <c r="AE158" s="78"/>
      <c r="AF158" s="103"/>
      <c r="AG158" s="103"/>
      <c r="AH158" s="113"/>
    </row>
    <row r="159" spans="1:34" ht="27" customHeight="1">
      <c r="A159" s="82" t="s">
        <v>158</v>
      </c>
      <c r="B159" s="1403" t="s">
        <v>712</v>
      </c>
      <c r="C159" s="1404"/>
      <c r="D159" s="1404"/>
      <c r="E159" s="1404"/>
      <c r="F159" s="1404"/>
      <c r="G159" s="1404"/>
      <c r="H159" s="1404"/>
      <c r="I159" s="1404"/>
      <c r="J159" s="1404"/>
      <c r="K159" s="1404"/>
      <c r="L159" s="1404"/>
      <c r="M159" s="1404"/>
      <c r="N159" s="1404"/>
      <c r="O159" s="1404"/>
      <c r="P159" s="1404"/>
      <c r="Q159" s="1404"/>
      <c r="R159" s="1404"/>
      <c r="S159" s="1404"/>
      <c r="T159" s="1404"/>
      <c r="U159" s="1404"/>
      <c r="V159" s="1404"/>
      <c r="W159" s="1404"/>
      <c r="X159" s="1404"/>
      <c r="Y159" s="1404"/>
      <c r="Z159" s="1404"/>
      <c r="AA159" s="1404"/>
      <c r="AB159" s="1404"/>
      <c r="AC159" s="1404"/>
      <c r="AD159" s="1405"/>
      <c r="AE159" s="79"/>
      <c r="AF159" s="119"/>
      <c r="AG159" s="119"/>
      <c r="AH159" s="113"/>
    </row>
    <row r="160" spans="1:34" ht="30" customHeight="1">
      <c r="A160" s="82"/>
      <c r="B160" s="1403"/>
      <c r="C160" s="1404"/>
      <c r="D160" s="1404"/>
      <c r="E160" s="1404"/>
      <c r="F160" s="1404"/>
      <c r="G160" s="1404"/>
      <c r="H160" s="1404"/>
      <c r="I160" s="1404"/>
      <c r="J160" s="1404"/>
      <c r="K160" s="1404"/>
      <c r="L160" s="1404"/>
      <c r="M160" s="1404"/>
      <c r="N160" s="1404"/>
      <c r="O160" s="1404"/>
      <c r="P160" s="1404"/>
      <c r="Q160" s="1404"/>
      <c r="R160" s="1404"/>
      <c r="S160" s="1404"/>
      <c r="T160" s="1404"/>
      <c r="U160" s="1404"/>
      <c r="V160" s="1404"/>
      <c r="W160" s="1404"/>
      <c r="X160" s="1404"/>
      <c r="Y160" s="1404"/>
      <c r="Z160" s="1404"/>
      <c r="AA160" s="1404"/>
      <c r="AB160" s="1404"/>
      <c r="AC160" s="1404"/>
      <c r="AD160" s="1405"/>
      <c r="AE160" s="78"/>
      <c r="AF160" s="103"/>
      <c r="AG160" s="103"/>
      <c r="AH160" s="113"/>
    </row>
    <row r="161" spans="1:34" ht="30" customHeight="1">
      <c r="A161" s="992" t="s">
        <v>110</v>
      </c>
      <c r="B161" s="1408" t="s">
        <v>971</v>
      </c>
      <c r="C161" s="1408"/>
      <c r="D161" s="1408"/>
      <c r="E161" s="1408"/>
      <c r="F161" s="1408"/>
      <c r="G161" s="1408"/>
      <c r="H161" s="1408"/>
      <c r="I161" s="1408"/>
      <c r="J161" s="1408"/>
      <c r="K161" s="1408"/>
      <c r="L161" s="1408"/>
      <c r="M161" s="1408"/>
      <c r="N161" s="1408"/>
      <c r="O161" s="1408"/>
      <c r="P161" s="1408"/>
      <c r="Q161" s="1408"/>
      <c r="R161" s="1408"/>
      <c r="S161" s="1408"/>
      <c r="T161" s="1408"/>
      <c r="U161" s="1408"/>
      <c r="V161" s="1408"/>
      <c r="W161" s="1408"/>
      <c r="X161" s="1408"/>
      <c r="Y161" s="1408"/>
      <c r="Z161" s="1408"/>
      <c r="AA161" s="1408"/>
      <c r="AB161" s="1408"/>
      <c r="AC161" s="1408"/>
      <c r="AD161" s="1408"/>
      <c r="AE161" s="827" t="s">
        <v>213</v>
      </c>
      <c r="AF161" s="827" t="s">
        <v>214</v>
      </c>
      <c r="AG161" s="827" t="s">
        <v>552</v>
      </c>
      <c r="AH161" s="520" t="s">
        <v>340</v>
      </c>
    </row>
    <row r="162" spans="1:34" ht="18" customHeight="1">
      <c r="A162" s="1317" t="s">
        <v>126</v>
      </c>
      <c r="B162" s="1390" t="s">
        <v>961</v>
      </c>
      <c r="C162" s="1390"/>
      <c r="D162" s="1390"/>
      <c r="E162" s="1390"/>
      <c r="F162" s="1390"/>
      <c r="G162" s="1390"/>
      <c r="H162" s="1390"/>
      <c r="I162" s="1390"/>
      <c r="J162" s="1390"/>
      <c r="K162" s="1390"/>
      <c r="L162" s="1390"/>
      <c r="M162" s="1390"/>
      <c r="N162" s="1390"/>
      <c r="O162" s="1390"/>
      <c r="P162" s="1390"/>
      <c r="Q162" s="1390"/>
      <c r="R162" s="1390"/>
      <c r="S162" s="1390"/>
      <c r="T162" s="1390"/>
      <c r="U162" s="1390"/>
      <c r="V162" s="1390"/>
      <c r="W162" s="993"/>
      <c r="X162" s="993"/>
      <c r="Y162" s="993"/>
      <c r="Z162" s="993"/>
      <c r="AA162" s="993"/>
      <c r="AB162" s="993"/>
      <c r="AC162" s="993"/>
      <c r="AD162" s="993"/>
      <c r="AE162" s="993"/>
      <c r="AF162" s="993"/>
      <c r="AG162" s="993"/>
      <c r="AH162" s="994"/>
    </row>
    <row r="163" spans="1:34" s="638" customFormat="1" ht="15">
      <c r="A163" s="1036" t="s">
        <v>33</v>
      </c>
      <c r="B163" s="986" t="s">
        <v>151</v>
      </c>
      <c r="C163" s="987"/>
      <c r="D163" s="986"/>
      <c r="E163" s="987"/>
      <c r="F163" s="987"/>
      <c r="G163" s="987"/>
      <c r="H163" s="987"/>
      <c r="I163" s="987"/>
      <c r="J163" s="987"/>
      <c r="K163" s="987"/>
      <c r="L163" s="988"/>
      <c r="M163" s="988"/>
      <c r="N163" s="988"/>
      <c r="O163" s="988"/>
      <c r="P163" s="987"/>
      <c r="Q163" s="987"/>
      <c r="R163" s="987"/>
      <c r="S163" s="987"/>
      <c r="T163" s="987"/>
      <c r="U163" s="987"/>
      <c r="V163" s="987"/>
      <c r="W163" s="987"/>
      <c r="X163" s="987"/>
      <c r="Y163" s="987"/>
      <c r="Z163" s="987"/>
      <c r="AA163" s="987">
        <f t="shared" ref="AA163:AA180" si="12">SUM(C163:Z163)</f>
        <v>0</v>
      </c>
      <c r="AB163" s="987"/>
      <c r="AC163" s="987"/>
      <c r="AD163" s="1036"/>
      <c r="AE163" s="1318"/>
      <c r="AF163" s="1318"/>
      <c r="AG163" s="1318"/>
      <c r="AH163" s="989">
        <f>(C163*C$6+D163*D$6+E163*E$6+F163*F$6+G163*G$6+H163*H$6+I163*I$6+J163*J$6+K163*K$6+L163*L$6+M163*M$6+N163*N$6+O163*O$6+P163*P$6+Q163*Q$6+R163*R$6+S163*S$6+T163*T$6+U163*U$6+V163*V$6+W163*W$6+X163*X$6+Y163*Y$6+Z163*Z$6)</f>
        <v>0</v>
      </c>
    </row>
    <row r="164" spans="1:34" s="646" customFormat="1" ht="15">
      <c r="A164" s="1041" t="s">
        <v>134</v>
      </c>
      <c r="B164" s="1039" t="s">
        <v>153</v>
      </c>
      <c r="C164" s="987"/>
      <c r="D164" s="986"/>
      <c r="E164" s="987"/>
      <c r="F164" s="987"/>
      <c r="G164" s="987"/>
      <c r="H164" s="987"/>
      <c r="I164" s="987"/>
      <c r="J164" s="987"/>
      <c r="K164" s="987"/>
      <c r="L164" s="988"/>
      <c r="M164" s="988"/>
      <c r="N164" s="988"/>
      <c r="O164" s="988"/>
      <c r="P164" s="987"/>
      <c r="Q164" s="987"/>
      <c r="R164" s="987"/>
      <c r="S164" s="987"/>
      <c r="T164" s="987">
        <v>1</v>
      </c>
      <c r="U164" s="987"/>
      <c r="V164" s="987"/>
      <c r="W164" s="987"/>
      <c r="X164" s="987"/>
      <c r="Y164" s="987"/>
      <c r="Z164" s="987"/>
      <c r="AA164" s="987">
        <f t="shared" si="12"/>
        <v>1</v>
      </c>
      <c r="AB164" s="987" t="s">
        <v>53</v>
      </c>
      <c r="AC164" s="987" t="s">
        <v>69</v>
      </c>
      <c r="AD164" s="1036" t="s">
        <v>32</v>
      </c>
      <c r="AE164" s="987">
        <v>0.2</v>
      </c>
      <c r="AF164" s="987">
        <v>0.2</v>
      </c>
      <c r="AG164" s="987">
        <v>0.26</v>
      </c>
      <c r="AH164" s="989">
        <f t="shared" ref="AH164:AH180" si="13">(C164*C$6+D164*D$6+E164*E$6+F164*F$6+G164*G$6+H164*H$6+I164*I$6+J164*J$6+K164*K$6+L164*L$6+M164*M$6+N164*N$6+O164*O$6+P164*P$6+Q164*Q$6+R164*R$6+S164*S$6+T164*T$6+U164*U$6+V164*V$6+W164*W$6+X164*X$6+Y164*Y$6+Z164*Z$6)</f>
        <v>296770.5</v>
      </c>
    </row>
    <row r="165" spans="1:34" s="646" customFormat="1" ht="15">
      <c r="A165" s="1297" t="s">
        <v>135</v>
      </c>
      <c r="B165" s="1295" t="s">
        <v>155</v>
      </c>
      <c r="C165" s="1046"/>
      <c r="D165" s="1045"/>
      <c r="E165" s="1046"/>
      <c r="F165" s="1046"/>
      <c r="G165" s="1046"/>
      <c r="H165" s="1046"/>
      <c r="I165" s="1046"/>
      <c r="J165" s="1046"/>
      <c r="K165" s="1046"/>
      <c r="L165" s="1047"/>
      <c r="M165" s="1047"/>
      <c r="N165" s="1047"/>
      <c r="O165" s="1047"/>
      <c r="P165" s="1046"/>
      <c r="Q165" s="1046"/>
      <c r="R165" s="1046"/>
      <c r="S165" s="1046"/>
      <c r="T165" s="1046">
        <v>1</v>
      </c>
      <c r="U165" s="1046"/>
      <c r="V165" s="1046"/>
      <c r="W165" s="1046"/>
      <c r="X165" s="1046"/>
      <c r="Y165" s="1046"/>
      <c r="Z165" s="1046"/>
      <c r="AA165" s="1046">
        <f t="shared" si="12"/>
        <v>1</v>
      </c>
      <c r="AB165" s="1046" t="s">
        <v>53</v>
      </c>
      <c r="AC165" s="1046" t="s">
        <v>69</v>
      </c>
      <c r="AD165" s="1044" t="s">
        <v>32</v>
      </c>
      <c r="AE165" s="1046">
        <v>0.15</v>
      </c>
      <c r="AF165" s="1046">
        <v>0.15</v>
      </c>
      <c r="AG165" s="1046">
        <v>0.19</v>
      </c>
      <c r="AH165" s="1050">
        <f t="shared" si="13"/>
        <v>296770.5</v>
      </c>
    </row>
    <row r="166" spans="1:34" s="638" customFormat="1" ht="51">
      <c r="A166" s="1036" t="s">
        <v>34</v>
      </c>
      <c r="B166" s="986" t="s">
        <v>715</v>
      </c>
      <c r="C166" s="987"/>
      <c r="D166" s="986"/>
      <c r="E166" s="987"/>
      <c r="F166" s="987"/>
      <c r="G166" s="987"/>
      <c r="H166" s="987"/>
      <c r="I166" s="987"/>
      <c r="J166" s="987"/>
      <c r="K166" s="987"/>
      <c r="L166" s="988"/>
      <c r="M166" s="988"/>
      <c r="N166" s="988"/>
      <c r="O166" s="988"/>
      <c r="P166" s="987"/>
      <c r="Q166" s="987"/>
      <c r="R166" s="987"/>
      <c r="S166" s="987"/>
      <c r="T166" s="987">
        <v>1</v>
      </c>
      <c r="U166" s="987"/>
      <c r="V166" s="987"/>
      <c r="W166" s="987"/>
      <c r="X166" s="987"/>
      <c r="Y166" s="987"/>
      <c r="Z166" s="987"/>
      <c r="AA166" s="987">
        <f t="shared" si="12"/>
        <v>1</v>
      </c>
      <c r="AB166" s="987" t="s">
        <v>53</v>
      </c>
      <c r="AC166" s="987" t="s">
        <v>69</v>
      </c>
      <c r="AD166" s="1036" t="s">
        <v>32</v>
      </c>
      <c r="AE166" s="987">
        <v>0.5</v>
      </c>
      <c r="AF166" s="987">
        <v>0.5</v>
      </c>
      <c r="AG166" s="987">
        <v>0.65</v>
      </c>
      <c r="AH166" s="989">
        <f t="shared" si="13"/>
        <v>296770.5</v>
      </c>
    </row>
    <row r="167" spans="1:34" s="638" customFormat="1" ht="25.5">
      <c r="A167" s="1036" t="s">
        <v>35</v>
      </c>
      <c r="B167" s="986" t="s">
        <v>216</v>
      </c>
      <c r="C167" s="987"/>
      <c r="D167" s="986"/>
      <c r="E167" s="987"/>
      <c r="F167" s="987"/>
      <c r="G167" s="987"/>
      <c r="H167" s="987"/>
      <c r="I167" s="987"/>
      <c r="J167" s="987"/>
      <c r="K167" s="987"/>
      <c r="L167" s="988"/>
      <c r="M167" s="988"/>
      <c r="N167" s="988"/>
      <c r="O167" s="988"/>
      <c r="P167" s="987"/>
      <c r="Q167" s="987"/>
      <c r="R167" s="987"/>
      <c r="S167" s="987"/>
      <c r="T167" s="987"/>
      <c r="U167" s="987">
        <v>1</v>
      </c>
      <c r="V167" s="987"/>
      <c r="W167" s="987"/>
      <c r="X167" s="987"/>
      <c r="Y167" s="987"/>
      <c r="Z167" s="987"/>
      <c r="AA167" s="987">
        <f t="shared" si="12"/>
        <v>1</v>
      </c>
      <c r="AB167" s="987" t="s">
        <v>1</v>
      </c>
      <c r="AC167" s="987" t="s">
        <v>106</v>
      </c>
      <c r="AD167" s="1036" t="s">
        <v>32</v>
      </c>
      <c r="AE167" s="987">
        <v>0.107</v>
      </c>
      <c r="AF167" s="987">
        <v>3.3000000000000002E-2</v>
      </c>
      <c r="AG167" s="987">
        <v>0.16700000000000001</v>
      </c>
      <c r="AH167" s="989">
        <f t="shared" si="13"/>
        <v>333450</v>
      </c>
    </row>
    <row r="168" spans="1:34" s="638" customFormat="1" ht="25.5">
      <c r="A168" s="1036" t="s">
        <v>158</v>
      </c>
      <c r="B168" s="986" t="s">
        <v>189</v>
      </c>
      <c r="C168" s="987"/>
      <c r="D168" s="986"/>
      <c r="E168" s="987"/>
      <c r="F168" s="987"/>
      <c r="G168" s="987"/>
      <c r="H168" s="987"/>
      <c r="I168" s="987"/>
      <c r="J168" s="987"/>
      <c r="K168" s="987"/>
      <c r="L168" s="988"/>
      <c r="M168" s="988"/>
      <c r="N168" s="988"/>
      <c r="O168" s="988"/>
      <c r="P168" s="987"/>
      <c r="Q168" s="987"/>
      <c r="R168" s="987"/>
      <c r="S168" s="987"/>
      <c r="T168" s="987"/>
      <c r="U168" s="987"/>
      <c r="V168" s="987"/>
      <c r="W168" s="987"/>
      <c r="X168" s="987"/>
      <c r="Y168" s="987"/>
      <c r="Z168" s="987"/>
      <c r="AA168" s="987">
        <f t="shared" si="12"/>
        <v>0</v>
      </c>
      <c r="AB168" s="987"/>
      <c r="AC168" s="987"/>
      <c r="AD168" s="1036"/>
      <c r="AE168" s="987"/>
      <c r="AF168" s="987"/>
      <c r="AG168" s="987"/>
      <c r="AH168" s="989">
        <f t="shared" si="13"/>
        <v>0</v>
      </c>
    </row>
    <row r="169" spans="1:34" s="646" customFormat="1" ht="15">
      <c r="A169" s="1041" t="s">
        <v>217</v>
      </c>
      <c r="B169" s="1039" t="s">
        <v>190</v>
      </c>
      <c r="C169" s="1038"/>
      <c r="D169" s="1039"/>
      <c r="E169" s="1038"/>
      <c r="F169" s="1038"/>
      <c r="G169" s="1038"/>
      <c r="H169" s="1038"/>
      <c r="I169" s="1038"/>
      <c r="J169" s="1038"/>
      <c r="K169" s="1038"/>
      <c r="L169" s="1040"/>
      <c r="M169" s="1040"/>
      <c r="N169" s="1040"/>
      <c r="O169" s="1040"/>
      <c r="P169" s="1038"/>
      <c r="Q169" s="1038"/>
      <c r="R169" s="1038"/>
      <c r="S169" s="1038">
        <v>1</v>
      </c>
      <c r="T169" s="1038"/>
      <c r="U169" s="1038"/>
      <c r="V169" s="1038"/>
      <c r="W169" s="1038"/>
      <c r="X169" s="1038"/>
      <c r="Y169" s="1038"/>
      <c r="Z169" s="1038"/>
      <c r="AA169" s="1038">
        <f t="shared" si="12"/>
        <v>1</v>
      </c>
      <c r="AB169" s="1038" t="s">
        <v>551</v>
      </c>
      <c r="AC169" s="1038" t="s">
        <v>68</v>
      </c>
      <c r="AD169" s="1041" t="s">
        <v>32</v>
      </c>
      <c r="AE169" s="1038">
        <v>1.6E-2</v>
      </c>
      <c r="AF169" s="1038">
        <v>1.6E-2</v>
      </c>
      <c r="AG169" s="1038">
        <v>0.02</v>
      </c>
      <c r="AH169" s="1043">
        <f t="shared" si="13"/>
        <v>260091</v>
      </c>
    </row>
    <row r="170" spans="1:34" s="646" customFormat="1" ht="15">
      <c r="A170" s="1041" t="s">
        <v>218</v>
      </c>
      <c r="B170" s="1039" t="s">
        <v>191</v>
      </c>
      <c r="C170" s="1038"/>
      <c r="D170" s="1039"/>
      <c r="E170" s="1038"/>
      <c r="F170" s="1038"/>
      <c r="G170" s="1038"/>
      <c r="H170" s="1038"/>
      <c r="I170" s="1038"/>
      <c r="J170" s="1038"/>
      <c r="K170" s="1038"/>
      <c r="L170" s="1040"/>
      <c r="M170" s="1040"/>
      <c r="N170" s="1040"/>
      <c r="O170" s="1040"/>
      <c r="P170" s="1038"/>
      <c r="Q170" s="1038"/>
      <c r="R170" s="1038"/>
      <c r="S170" s="1038">
        <v>1</v>
      </c>
      <c r="T170" s="1038"/>
      <c r="U170" s="1038"/>
      <c r="V170" s="1038"/>
      <c r="W170" s="1038"/>
      <c r="X170" s="1038"/>
      <c r="Y170" s="1038"/>
      <c r="Z170" s="1038"/>
      <c r="AA170" s="1038">
        <f t="shared" si="12"/>
        <v>1</v>
      </c>
      <c r="AB170" s="1038" t="s">
        <v>551</v>
      </c>
      <c r="AC170" s="1038" t="s">
        <v>68</v>
      </c>
      <c r="AD170" s="1041" t="s">
        <v>32</v>
      </c>
      <c r="AE170" s="1038">
        <v>8.0000000000000002E-3</v>
      </c>
      <c r="AF170" s="1038">
        <v>8.0000000000000002E-3</v>
      </c>
      <c r="AG170" s="1038">
        <v>0.01</v>
      </c>
      <c r="AH170" s="1043">
        <f t="shared" si="13"/>
        <v>260091</v>
      </c>
    </row>
    <row r="171" spans="1:34" s="638" customFormat="1" ht="38.25">
      <c r="A171" s="1036" t="s">
        <v>159</v>
      </c>
      <c r="B171" s="986" t="s">
        <v>192</v>
      </c>
      <c r="C171" s="987"/>
      <c r="D171" s="986"/>
      <c r="E171" s="987"/>
      <c r="F171" s="987"/>
      <c r="G171" s="987"/>
      <c r="H171" s="987"/>
      <c r="I171" s="987"/>
      <c r="J171" s="987"/>
      <c r="K171" s="987"/>
      <c r="L171" s="988"/>
      <c r="M171" s="988"/>
      <c r="N171" s="988"/>
      <c r="O171" s="988"/>
      <c r="P171" s="987"/>
      <c r="Q171" s="987"/>
      <c r="R171" s="987"/>
      <c r="S171" s="987">
        <v>1</v>
      </c>
      <c r="T171" s="987"/>
      <c r="U171" s="987"/>
      <c r="V171" s="987"/>
      <c r="W171" s="987"/>
      <c r="X171" s="987"/>
      <c r="Y171" s="987"/>
      <c r="Z171" s="987"/>
      <c r="AA171" s="987">
        <f t="shared" si="12"/>
        <v>1</v>
      </c>
      <c r="AB171" s="987" t="s">
        <v>551</v>
      </c>
      <c r="AC171" s="987" t="s">
        <v>68</v>
      </c>
      <c r="AD171" s="1036" t="s">
        <v>32</v>
      </c>
      <c r="AE171" s="987">
        <v>4.0000000000000001E-3</v>
      </c>
      <c r="AF171" s="987">
        <v>4.0000000000000001E-3</v>
      </c>
      <c r="AG171" s="987">
        <v>5.0000000000000001E-3</v>
      </c>
      <c r="AH171" s="989">
        <f t="shared" si="13"/>
        <v>260091</v>
      </c>
    </row>
    <row r="172" spans="1:34" s="287" customFormat="1" ht="15.75" customHeight="1">
      <c r="A172" s="1402" t="s">
        <v>160</v>
      </c>
      <c r="B172" s="1418" t="s">
        <v>640</v>
      </c>
      <c r="C172" s="987"/>
      <c r="D172" s="986"/>
      <c r="E172" s="987"/>
      <c r="F172" s="987"/>
      <c r="G172" s="987"/>
      <c r="H172" s="987"/>
      <c r="I172" s="987"/>
      <c r="J172" s="987">
        <v>1</v>
      </c>
      <c r="K172" s="987"/>
      <c r="L172" s="988"/>
      <c r="M172" s="988"/>
      <c r="N172" s="988"/>
      <c r="O172" s="988"/>
      <c r="P172" s="987"/>
      <c r="Q172" s="987"/>
      <c r="R172" s="987"/>
      <c r="S172" s="987"/>
      <c r="T172" s="987">
        <v>1</v>
      </c>
      <c r="U172" s="987"/>
      <c r="V172" s="987"/>
      <c r="W172" s="987"/>
      <c r="X172" s="987"/>
      <c r="Y172" s="987"/>
      <c r="Z172" s="987"/>
      <c r="AA172" s="987">
        <f t="shared" si="12"/>
        <v>2</v>
      </c>
      <c r="AB172" s="1409" t="s">
        <v>53</v>
      </c>
      <c r="AC172" s="1409" t="s">
        <v>549</v>
      </c>
      <c r="AD172" s="1395" t="s">
        <v>33</v>
      </c>
      <c r="AE172" s="990">
        <v>1</v>
      </c>
      <c r="AF172" s="990">
        <v>1</v>
      </c>
      <c r="AG172" s="990">
        <v>1.3</v>
      </c>
      <c r="AH172" s="989">
        <f t="shared" si="13"/>
        <v>570199.5</v>
      </c>
    </row>
    <row r="173" spans="1:34" s="287" customFormat="1" ht="15.75" customHeight="1">
      <c r="A173" s="1402"/>
      <c r="B173" s="1418"/>
      <c r="C173" s="987">
        <v>1</v>
      </c>
      <c r="D173" s="986"/>
      <c r="E173" s="987"/>
      <c r="F173" s="987"/>
      <c r="G173" s="987"/>
      <c r="H173" s="987"/>
      <c r="I173" s="987"/>
      <c r="J173" s="987"/>
      <c r="K173" s="987"/>
      <c r="L173" s="988"/>
      <c r="M173" s="988"/>
      <c r="N173" s="988"/>
      <c r="O173" s="988"/>
      <c r="P173" s="987"/>
      <c r="Q173" s="987"/>
      <c r="R173" s="987"/>
      <c r="S173" s="987"/>
      <c r="T173" s="987"/>
      <c r="U173" s="987"/>
      <c r="V173" s="987"/>
      <c r="W173" s="987"/>
      <c r="X173" s="987"/>
      <c r="Y173" s="987"/>
      <c r="Z173" s="987"/>
      <c r="AA173" s="987">
        <f t="shared" si="12"/>
        <v>1</v>
      </c>
      <c r="AB173" s="1419"/>
      <c r="AC173" s="1419"/>
      <c r="AD173" s="1397"/>
      <c r="AE173" s="990">
        <v>0.59</v>
      </c>
      <c r="AF173" s="990">
        <v>0.59</v>
      </c>
      <c r="AG173" s="990">
        <v>0.76700000000000002</v>
      </c>
      <c r="AH173" s="989">
        <f t="shared" si="13"/>
        <v>181923.07692307694</v>
      </c>
    </row>
    <row r="174" spans="1:34" s="287" customFormat="1" ht="15.75" customHeight="1">
      <c r="A174" s="1402"/>
      <c r="B174" s="1418"/>
      <c r="C174" s="987"/>
      <c r="D174" s="986"/>
      <c r="E174" s="987"/>
      <c r="F174" s="987"/>
      <c r="G174" s="987"/>
      <c r="H174" s="987"/>
      <c r="I174" s="987"/>
      <c r="J174" s="987">
        <v>1</v>
      </c>
      <c r="K174" s="987"/>
      <c r="L174" s="988"/>
      <c r="M174" s="988"/>
      <c r="N174" s="988"/>
      <c r="O174" s="988"/>
      <c r="P174" s="987"/>
      <c r="Q174" s="987"/>
      <c r="R174" s="987"/>
      <c r="S174" s="987"/>
      <c r="T174" s="987">
        <v>1</v>
      </c>
      <c r="U174" s="987"/>
      <c r="V174" s="987"/>
      <c r="W174" s="987"/>
      <c r="X174" s="987"/>
      <c r="Y174" s="987"/>
      <c r="Z174" s="987"/>
      <c r="AA174" s="987">
        <f t="shared" si="12"/>
        <v>2</v>
      </c>
      <c r="AB174" s="1419"/>
      <c r="AC174" s="1419"/>
      <c r="AD174" s="1409">
        <v>2</v>
      </c>
      <c r="AE174" s="990">
        <v>1.1000000000000001</v>
      </c>
      <c r="AF174" s="990">
        <v>1.1000000000000001</v>
      </c>
      <c r="AG174" s="990">
        <v>1.43</v>
      </c>
      <c r="AH174" s="989">
        <f t="shared" si="13"/>
        <v>570199.5</v>
      </c>
    </row>
    <row r="175" spans="1:34" s="287" customFormat="1" ht="15.75" customHeight="1">
      <c r="A175" s="1402"/>
      <c r="B175" s="1418"/>
      <c r="C175" s="987">
        <v>1</v>
      </c>
      <c r="D175" s="986"/>
      <c r="E175" s="987"/>
      <c r="F175" s="987"/>
      <c r="G175" s="987"/>
      <c r="H175" s="987"/>
      <c r="I175" s="987"/>
      <c r="J175" s="987"/>
      <c r="K175" s="987"/>
      <c r="L175" s="988"/>
      <c r="M175" s="988"/>
      <c r="N175" s="988"/>
      <c r="O175" s="988"/>
      <c r="P175" s="987"/>
      <c r="Q175" s="987"/>
      <c r="R175" s="987"/>
      <c r="S175" s="987"/>
      <c r="T175" s="987"/>
      <c r="U175" s="987"/>
      <c r="V175" s="987"/>
      <c r="W175" s="987"/>
      <c r="X175" s="987"/>
      <c r="Y175" s="987"/>
      <c r="Z175" s="987"/>
      <c r="AA175" s="987">
        <f t="shared" si="12"/>
        <v>1</v>
      </c>
      <c r="AB175" s="1419"/>
      <c r="AC175" s="1419"/>
      <c r="AD175" s="1410"/>
      <c r="AE175" s="990">
        <v>0.65</v>
      </c>
      <c r="AF175" s="990">
        <v>0.65</v>
      </c>
      <c r="AG175" s="990">
        <v>0.84499999999999997</v>
      </c>
      <c r="AH175" s="989">
        <f t="shared" si="13"/>
        <v>181923.07692307694</v>
      </c>
    </row>
    <row r="176" spans="1:34" s="287" customFormat="1" ht="15.75" customHeight="1">
      <c r="A176" s="1402"/>
      <c r="B176" s="1418"/>
      <c r="C176" s="987"/>
      <c r="D176" s="986"/>
      <c r="E176" s="987"/>
      <c r="F176" s="987"/>
      <c r="G176" s="987"/>
      <c r="H176" s="987"/>
      <c r="I176" s="987"/>
      <c r="J176" s="987">
        <v>1</v>
      </c>
      <c r="K176" s="987"/>
      <c r="L176" s="988"/>
      <c r="M176" s="988"/>
      <c r="N176" s="988"/>
      <c r="O176" s="988"/>
      <c r="P176" s="987"/>
      <c r="Q176" s="987"/>
      <c r="R176" s="987"/>
      <c r="S176" s="987"/>
      <c r="T176" s="987">
        <v>1</v>
      </c>
      <c r="U176" s="987"/>
      <c r="V176" s="987"/>
      <c r="W176" s="987"/>
      <c r="X176" s="987"/>
      <c r="Y176" s="987"/>
      <c r="Z176" s="987"/>
      <c r="AA176" s="987">
        <f t="shared" si="12"/>
        <v>2</v>
      </c>
      <c r="AB176" s="1419"/>
      <c r="AC176" s="1419"/>
      <c r="AD176" s="1395" t="s">
        <v>35</v>
      </c>
      <c r="AE176" s="990">
        <v>1.21</v>
      </c>
      <c r="AF176" s="990">
        <v>1.21</v>
      </c>
      <c r="AG176" s="990">
        <v>1.573</v>
      </c>
      <c r="AH176" s="989">
        <f t="shared" si="13"/>
        <v>570199.5</v>
      </c>
    </row>
    <row r="177" spans="1:34" ht="18" customHeight="1">
      <c r="A177" s="992"/>
      <c r="B177" s="993"/>
      <c r="C177" s="523">
        <v>1</v>
      </c>
      <c r="D177" s="993"/>
      <c r="E177" s="993"/>
      <c r="F177" s="993"/>
      <c r="G177" s="993"/>
      <c r="H177" s="993"/>
      <c r="I177" s="993"/>
      <c r="J177" s="993"/>
      <c r="K177" s="993"/>
      <c r="L177" s="993"/>
      <c r="M177" s="993"/>
      <c r="N177" s="993"/>
      <c r="O177" s="993"/>
      <c r="P177" s="993"/>
      <c r="Q177" s="993"/>
      <c r="R177" s="993"/>
      <c r="S177" s="993"/>
      <c r="T177" s="993"/>
      <c r="U177" s="993"/>
      <c r="V177" s="993"/>
      <c r="W177" s="993"/>
      <c r="X177" s="993"/>
      <c r="Y177" s="993"/>
      <c r="Z177" s="993"/>
      <c r="AA177" s="987">
        <f t="shared" si="12"/>
        <v>1</v>
      </c>
      <c r="AB177" s="1410"/>
      <c r="AC177" s="1410"/>
      <c r="AD177" s="1397"/>
      <c r="AE177" s="954">
        <v>0.71</v>
      </c>
      <c r="AF177" s="954">
        <v>0.71</v>
      </c>
      <c r="AG177" s="954">
        <v>0.92300000000000004</v>
      </c>
      <c r="AH177" s="946">
        <f t="shared" si="13"/>
        <v>181923.07692307694</v>
      </c>
    </row>
    <row r="178" spans="1:34" s="287" customFormat="1" ht="25.5">
      <c r="A178" s="1319" t="s">
        <v>161</v>
      </c>
      <c r="B178" s="986" t="s">
        <v>641</v>
      </c>
      <c r="C178" s="1313"/>
      <c r="D178" s="1313"/>
      <c r="E178" s="1313"/>
      <c r="F178" s="1313"/>
      <c r="G178" s="1313"/>
      <c r="H178" s="1313"/>
      <c r="I178" s="1313"/>
      <c r="J178" s="1313"/>
      <c r="K178" s="1313"/>
      <c r="L178" s="1313"/>
      <c r="M178" s="1313"/>
      <c r="N178" s="1313"/>
      <c r="O178" s="1313"/>
      <c r="P178" s="1313"/>
      <c r="Q178" s="1313"/>
      <c r="R178" s="1313"/>
      <c r="S178" s="1313"/>
      <c r="T178" s="1046">
        <v>1</v>
      </c>
      <c r="U178" s="1313"/>
      <c r="V178" s="1313"/>
      <c r="W178" s="1313"/>
      <c r="X178" s="1313"/>
      <c r="Y178" s="1313"/>
      <c r="Z178" s="1313"/>
      <c r="AA178" s="987">
        <f t="shared" si="12"/>
        <v>1</v>
      </c>
      <c r="AB178" s="987" t="s">
        <v>53</v>
      </c>
      <c r="AC178" s="987" t="s">
        <v>69</v>
      </c>
      <c r="AD178" s="1036" t="s">
        <v>32</v>
      </c>
      <c r="AE178" s="990">
        <v>0.05</v>
      </c>
      <c r="AF178" s="990">
        <v>0.05</v>
      </c>
      <c r="AG178" s="990">
        <v>0.05</v>
      </c>
      <c r="AH178" s="989">
        <f t="shared" si="13"/>
        <v>296770.5</v>
      </c>
    </row>
    <row r="179" spans="1:34" s="287" customFormat="1" ht="25.5">
      <c r="A179" s="1319">
        <v>8</v>
      </c>
      <c r="B179" s="986" t="s">
        <v>664</v>
      </c>
      <c r="C179" s="1313"/>
      <c r="D179" s="1313"/>
      <c r="E179" s="1313"/>
      <c r="F179" s="1313"/>
      <c r="G179" s="1313"/>
      <c r="H179" s="1313"/>
      <c r="I179" s="1313"/>
      <c r="J179" s="1313"/>
      <c r="K179" s="1313"/>
      <c r="L179" s="1313"/>
      <c r="M179" s="1313"/>
      <c r="N179" s="1313"/>
      <c r="O179" s="1313"/>
      <c r="P179" s="1313"/>
      <c r="Q179" s="1313"/>
      <c r="R179" s="1313"/>
      <c r="S179" s="1313"/>
      <c r="T179" s="1046">
        <v>1</v>
      </c>
      <c r="U179" s="1313"/>
      <c r="V179" s="1313"/>
      <c r="W179" s="1313"/>
      <c r="X179" s="1313"/>
      <c r="Y179" s="1313"/>
      <c r="Z179" s="1313"/>
      <c r="AA179" s="987">
        <f t="shared" si="12"/>
        <v>1</v>
      </c>
      <c r="AB179" s="987" t="s">
        <v>53</v>
      </c>
      <c r="AC179" s="987" t="s">
        <v>69</v>
      </c>
      <c r="AD179" s="1036" t="s">
        <v>32</v>
      </c>
      <c r="AE179" s="990">
        <v>0.05</v>
      </c>
      <c r="AF179" s="990">
        <v>0.05</v>
      </c>
      <c r="AG179" s="990">
        <v>0.05</v>
      </c>
      <c r="AH179" s="989">
        <f t="shared" si="13"/>
        <v>296770.5</v>
      </c>
    </row>
    <row r="180" spans="1:34" s="287" customFormat="1" ht="25.5">
      <c r="A180" s="1319">
        <v>9</v>
      </c>
      <c r="B180" s="986" t="s">
        <v>665</v>
      </c>
      <c r="C180" s="1313"/>
      <c r="D180" s="1313"/>
      <c r="E180" s="1313"/>
      <c r="F180" s="1313"/>
      <c r="G180" s="1313"/>
      <c r="H180" s="1313"/>
      <c r="I180" s="1313"/>
      <c r="J180" s="1313"/>
      <c r="K180" s="1313"/>
      <c r="L180" s="1313"/>
      <c r="M180" s="1313"/>
      <c r="N180" s="1313"/>
      <c r="O180" s="1313"/>
      <c r="P180" s="1313"/>
      <c r="Q180" s="1313"/>
      <c r="R180" s="1313"/>
      <c r="S180" s="1313"/>
      <c r="T180" s="1046">
        <v>1</v>
      </c>
      <c r="U180" s="1313"/>
      <c r="V180" s="1313"/>
      <c r="W180" s="1313"/>
      <c r="X180" s="1313"/>
      <c r="Y180" s="1313"/>
      <c r="Z180" s="1313"/>
      <c r="AA180" s="987">
        <f t="shared" si="12"/>
        <v>1</v>
      </c>
      <c r="AB180" s="987" t="s">
        <v>53</v>
      </c>
      <c r="AC180" s="987" t="s">
        <v>69</v>
      </c>
      <c r="AD180" s="1036" t="s">
        <v>32</v>
      </c>
      <c r="AE180" s="990">
        <v>0.04</v>
      </c>
      <c r="AF180" s="990">
        <v>0.04</v>
      </c>
      <c r="AG180" s="990">
        <v>5.1999999999999998E-2</v>
      </c>
      <c r="AH180" s="989">
        <f t="shared" si="13"/>
        <v>296770.5</v>
      </c>
    </row>
    <row r="181" spans="1:34" ht="22.15" customHeight="1">
      <c r="A181" s="938" t="s">
        <v>127</v>
      </c>
      <c r="B181" s="1390" t="s">
        <v>196</v>
      </c>
      <c r="C181" s="1390"/>
      <c r="D181" s="1390"/>
      <c r="E181" s="1390"/>
      <c r="F181" s="1390"/>
      <c r="G181" s="1390"/>
      <c r="H181" s="1390"/>
      <c r="I181" s="1390"/>
      <c r="J181" s="1390"/>
      <c r="K181" s="1390"/>
      <c r="L181" s="1390"/>
      <c r="M181" s="1390"/>
      <c r="N181" s="1390"/>
      <c r="O181" s="1390"/>
      <c r="P181" s="1390"/>
      <c r="Q181" s="1390"/>
      <c r="R181" s="1390"/>
      <c r="S181" s="1390"/>
      <c r="T181" s="1390"/>
      <c r="U181" s="1390"/>
      <c r="V181" s="1390"/>
      <c r="W181" s="1390"/>
      <c r="X181" s="1390"/>
      <c r="Y181" s="1390"/>
      <c r="Z181" s="1390"/>
      <c r="AA181" s="1390"/>
      <c r="AB181" s="1390"/>
      <c r="AC181" s="1390"/>
      <c r="AD181" s="1390"/>
      <c r="AE181" s="827" t="s">
        <v>213</v>
      </c>
      <c r="AF181" s="827" t="s">
        <v>214</v>
      </c>
      <c r="AG181" s="827" t="s">
        <v>215</v>
      </c>
      <c r="AH181" s="165"/>
    </row>
    <row r="182" spans="1:34" s="287" customFormat="1" ht="38.25">
      <c r="A182" s="1036" t="s">
        <v>33</v>
      </c>
      <c r="B182" s="986" t="s">
        <v>666</v>
      </c>
      <c r="C182" s="987"/>
      <c r="D182" s="986"/>
      <c r="E182" s="987"/>
      <c r="F182" s="987"/>
      <c r="G182" s="987"/>
      <c r="H182" s="987"/>
      <c r="I182" s="987"/>
      <c r="J182" s="987"/>
      <c r="K182" s="987"/>
      <c r="L182" s="988"/>
      <c r="M182" s="988"/>
      <c r="N182" s="988"/>
      <c r="O182" s="988"/>
      <c r="P182" s="987"/>
      <c r="Q182" s="987"/>
      <c r="R182" s="987"/>
      <c r="S182" s="987"/>
      <c r="T182" s="987"/>
      <c r="U182" s="987">
        <v>1</v>
      </c>
      <c r="V182" s="987"/>
      <c r="W182" s="987"/>
      <c r="X182" s="987"/>
      <c r="Y182" s="987"/>
      <c r="Z182" s="987"/>
      <c r="AA182" s="987">
        <f t="shared" ref="AA182:AA203" si="14">SUM(C182:Z182)</f>
        <v>1</v>
      </c>
      <c r="AB182" s="987" t="s">
        <v>53</v>
      </c>
      <c r="AC182" s="987" t="s">
        <v>106</v>
      </c>
      <c r="AD182" s="1036" t="s">
        <v>32</v>
      </c>
      <c r="AE182" s="987">
        <v>1</v>
      </c>
      <c r="AF182" s="987">
        <v>1</v>
      </c>
      <c r="AG182" s="987">
        <v>1.3</v>
      </c>
      <c r="AH182" s="989">
        <f t="shared" ref="AH182:AH208" si="15">(C182*C$6+D182*D$6+E182*E$6+F182*F$6+G182*G$6+H182*H$6+I182*I$6+J182*J$6+K182*K$6+L182*L$6+M182*M$6+N182*N$6+O182*O$6+P182*P$6+Q182*Q$6+R182*R$6+S182*S$6+T182*T$6+U182*U$6+V182*V$6+W182*W$6+X182*X$6+Y182*Y$6+Z182*Z$6)</f>
        <v>333450</v>
      </c>
    </row>
    <row r="183" spans="1:34" s="287" customFormat="1" ht="26.25" customHeight="1">
      <c r="A183" s="1036" t="s">
        <v>34</v>
      </c>
      <c r="B183" s="986" t="s">
        <v>667</v>
      </c>
      <c r="C183" s="987"/>
      <c r="D183" s="986"/>
      <c r="E183" s="987"/>
      <c r="F183" s="987"/>
      <c r="G183" s="987"/>
      <c r="H183" s="987"/>
      <c r="I183" s="987"/>
      <c r="J183" s="987"/>
      <c r="K183" s="987"/>
      <c r="L183" s="988"/>
      <c r="M183" s="988"/>
      <c r="N183" s="988"/>
      <c r="O183" s="988"/>
      <c r="P183" s="987"/>
      <c r="Q183" s="987"/>
      <c r="R183" s="987"/>
      <c r="S183" s="987"/>
      <c r="T183" s="987"/>
      <c r="U183" s="987">
        <v>1</v>
      </c>
      <c r="V183" s="987"/>
      <c r="W183" s="987"/>
      <c r="X183" s="987"/>
      <c r="Y183" s="987"/>
      <c r="Z183" s="987"/>
      <c r="AA183" s="987">
        <f t="shared" si="14"/>
        <v>1</v>
      </c>
      <c r="AB183" s="1305" t="s">
        <v>53</v>
      </c>
      <c r="AC183" s="987" t="s">
        <v>106</v>
      </c>
      <c r="AD183" s="1036" t="s">
        <v>32</v>
      </c>
      <c r="AE183" s="987">
        <v>0.05</v>
      </c>
      <c r="AF183" s="987">
        <v>0.05</v>
      </c>
      <c r="AG183" s="987">
        <v>0.05</v>
      </c>
      <c r="AH183" s="989">
        <f t="shared" si="15"/>
        <v>333450</v>
      </c>
    </row>
    <row r="184" spans="1:34" s="287" customFormat="1" ht="25.5">
      <c r="A184" s="1046">
        <v>3</v>
      </c>
      <c r="B184" s="1304" t="s">
        <v>587</v>
      </c>
      <c r="C184" s="987"/>
      <c r="D184" s="986"/>
      <c r="E184" s="987"/>
      <c r="F184" s="987"/>
      <c r="G184" s="987"/>
      <c r="H184" s="987"/>
      <c r="I184" s="987"/>
      <c r="J184" s="987"/>
      <c r="K184" s="987"/>
      <c r="L184" s="988"/>
      <c r="M184" s="988"/>
      <c r="N184" s="988"/>
      <c r="O184" s="988"/>
      <c r="P184" s="987"/>
      <c r="Q184" s="987"/>
      <c r="R184" s="987"/>
      <c r="S184" s="987"/>
      <c r="T184" s="987">
        <v>1</v>
      </c>
      <c r="U184" s="987"/>
      <c r="V184" s="987"/>
      <c r="W184" s="987"/>
      <c r="X184" s="987"/>
      <c r="Y184" s="987"/>
      <c r="Z184" s="987"/>
      <c r="AA184" s="987">
        <f t="shared" si="14"/>
        <v>1</v>
      </c>
      <c r="AB184" s="987" t="s">
        <v>53</v>
      </c>
      <c r="AC184" s="987" t="s">
        <v>69</v>
      </c>
      <c r="AD184" s="1036" t="s">
        <v>32</v>
      </c>
      <c r="AE184" s="987">
        <v>0.47</v>
      </c>
      <c r="AF184" s="987">
        <v>0.47</v>
      </c>
      <c r="AG184" s="987">
        <v>0.61099999999999999</v>
      </c>
      <c r="AH184" s="989">
        <f t="shared" si="15"/>
        <v>296770.5</v>
      </c>
    </row>
    <row r="185" spans="1:34" s="287" customFormat="1" ht="38.25">
      <c r="A185" s="1036" t="s">
        <v>158</v>
      </c>
      <c r="B185" s="1304" t="s">
        <v>668</v>
      </c>
      <c r="C185" s="987"/>
      <c r="D185" s="986"/>
      <c r="E185" s="987"/>
      <c r="F185" s="987"/>
      <c r="G185" s="987"/>
      <c r="H185" s="987"/>
      <c r="I185" s="987"/>
      <c r="J185" s="987"/>
      <c r="K185" s="987"/>
      <c r="L185" s="988"/>
      <c r="M185" s="988"/>
      <c r="N185" s="988"/>
      <c r="O185" s="988"/>
      <c r="P185" s="987"/>
      <c r="Q185" s="987"/>
      <c r="R185" s="987"/>
      <c r="S185" s="987"/>
      <c r="T185" s="987"/>
      <c r="U185" s="987"/>
      <c r="V185" s="987"/>
      <c r="W185" s="987"/>
      <c r="X185" s="987"/>
      <c r="Y185" s="987"/>
      <c r="Z185" s="987"/>
      <c r="AA185" s="987">
        <f>SUM(C185:Z185)</f>
        <v>0</v>
      </c>
      <c r="AB185" s="987"/>
      <c r="AC185" s="987"/>
      <c r="AD185" s="987"/>
      <c r="AE185" s="987"/>
      <c r="AF185" s="987"/>
      <c r="AG185" s="987"/>
      <c r="AH185" s="989">
        <f>(C185*C$6+D185*D$6+E185*E$6+F185*F$6+G185*G$6+H185*H$6+I185*I$6+J185*J$6+K185*K$6+L185*L$6+M185*M$6+N185*N$6+O185*O$6+P185*P$6+Q185*Q$6+R185*R$6+S185*S$6+T185*T$6+U185*U$6+V185*V$6+W185*W$6+X185*X$6+Y185*Y$6+Z185*Z$6)</f>
        <v>0</v>
      </c>
    </row>
    <row r="186" spans="1:34" s="285" customFormat="1" ht="16.5" customHeight="1">
      <c r="A186" s="1297" t="s">
        <v>217</v>
      </c>
      <c r="B186" s="1312" t="s">
        <v>594</v>
      </c>
      <c r="C186" s="1294"/>
      <c r="D186" s="1295"/>
      <c r="E186" s="1294"/>
      <c r="F186" s="1294"/>
      <c r="G186" s="1294"/>
      <c r="H186" s="1294"/>
      <c r="I186" s="1294"/>
      <c r="J186" s="1294"/>
      <c r="K186" s="1294"/>
      <c r="L186" s="1296"/>
      <c r="M186" s="1296"/>
      <c r="N186" s="1296"/>
      <c r="O186" s="1296"/>
      <c r="P186" s="1294"/>
      <c r="Q186" s="1294"/>
      <c r="R186" s="1294"/>
      <c r="S186" s="1294"/>
      <c r="T186" s="1294"/>
      <c r="U186" s="1294">
        <v>1</v>
      </c>
      <c r="V186" s="1294"/>
      <c r="W186" s="1294"/>
      <c r="X186" s="1294"/>
      <c r="Y186" s="1294"/>
      <c r="Z186" s="1294"/>
      <c r="AA186" s="1294">
        <f>SUM(C186:Z186)</f>
        <v>1</v>
      </c>
      <c r="AB186" s="1294" t="s">
        <v>53</v>
      </c>
      <c r="AC186" s="1294" t="s">
        <v>106</v>
      </c>
      <c r="AD186" s="1297" t="s">
        <v>32</v>
      </c>
      <c r="AE186" s="1294">
        <v>1.21</v>
      </c>
      <c r="AF186" s="1294">
        <v>1.21</v>
      </c>
      <c r="AG186" s="1294">
        <v>1.573</v>
      </c>
      <c r="AH186" s="1298">
        <f>(C186*C$6+D186*D$6+E186*E$6+F186*F$6+G186*G$6+H186*H$6+I186*I$6+J186*J$6+K186*K$6+L186*L$6+M186*M$6+N186*N$6+O186*O$6+P186*P$6+Q186*Q$6+R186*R$6+S186*S$6+T186*T$6+U186*U$6+V186*V$6+W186*W$6+X186*X$6+Y186*Y$6+Z186*Z$6)</f>
        <v>333450</v>
      </c>
    </row>
    <row r="187" spans="1:34" s="285" customFormat="1" ht="16.5" customHeight="1">
      <c r="A187" s="1041" t="s">
        <v>218</v>
      </c>
      <c r="B187" s="1312" t="s">
        <v>595</v>
      </c>
      <c r="C187" s="1038"/>
      <c r="D187" s="1039"/>
      <c r="E187" s="1038"/>
      <c r="F187" s="1038"/>
      <c r="G187" s="1038"/>
      <c r="H187" s="1038"/>
      <c r="I187" s="1038"/>
      <c r="J187" s="1038"/>
      <c r="K187" s="1038"/>
      <c r="L187" s="1040"/>
      <c r="M187" s="1040"/>
      <c r="N187" s="1040"/>
      <c r="O187" s="1040"/>
      <c r="P187" s="1038"/>
      <c r="Q187" s="1038"/>
      <c r="R187" s="1038"/>
      <c r="S187" s="1038"/>
      <c r="T187" s="1038"/>
      <c r="U187" s="1038">
        <v>1</v>
      </c>
      <c r="V187" s="1038"/>
      <c r="W187" s="1038"/>
      <c r="X187" s="1038"/>
      <c r="Y187" s="1038"/>
      <c r="Z187" s="1038"/>
      <c r="AA187" s="1038">
        <f>SUM(C187:Z187)</f>
        <v>1</v>
      </c>
      <c r="AB187" s="1038" t="s">
        <v>53</v>
      </c>
      <c r="AC187" s="1320" t="s">
        <v>71</v>
      </c>
      <c r="AD187" s="1041" t="s">
        <v>32</v>
      </c>
      <c r="AE187" s="1038">
        <v>1.46</v>
      </c>
      <c r="AF187" s="1038">
        <v>1.46</v>
      </c>
      <c r="AG187" s="1038">
        <v>1.9</v>
      </c>
      <c r="AH187" s="1043">
        <f>(C187*C$6+D187*D$6+E187*E$6+F187*F$6+G187*G$6+H187*H$6+I187*I$6+J187*J$6+K187*K$6+L187*L$6+M187*M$6+N187*N$6+O187*O$6+P187*P$6+Q187*Q$6+R187*R$6+S187*S$6+T187*T$6+U187*U$6+V187*V$6+W187*W$6+X187*X$6+Y187*Y$6+Z187*Z$6)</f>
        <v>333450</v>
      </c>
    </row>
    <row r="188" spans="1:34" s="287" customFormat="1" ht="25.5">
      <c r="A188" s="1036" t="s">
        <v>159</v>
      </c>
      <c r="B188" s="1304" t="s">
        <v>219</v>
      </c>
      <c r="C188" s="987"/>
      <c r="D188" s="986"/>
      <c r="E188" s="987"/>
      <c r="F188" s="987"/>
      <c r="G188" s="987"/>
      <c r="H188" s="987"/>
      <c r="I188" s="987"/>
      <c r="J188" s="987"/>
      <c r="K188" s="987"/>
      <c r="L188" s="988"/>
      <c r="M188" s="988"/>
      <c r="N188" s="988"/>
      <c r="O188" s="988"/>
      <c r="P188" s="987"/>
      <c r="Q188" s="987"/>
      <c r="R188" s="987"/>
      <c r="S188" s="987"/>
      <c r="T188" s="987"/>
      <c r="U188" s="987">
        <v>1</v>
      </c>
      <c r="V188" s="987"/>
      <c r="W188" s="987"/>
      <c r="X188" s="987"/>
      <c r="Y188" s="987"/>
      <c r="Z188" s="987"/>
      <c r="AA188" s="987">
        <f t="shared" si="14"/>
        <v>1</v>
      </c>
      <c r="AB188" s="987" t="s">
        <v>1</v>
      </c>
      <c r="AC188" s="987" t="s">
        <v>106</v>
      </c>
      <c r="AD188" s="1036" t="s">
        <v>32</v>
      </c>
      <c r="AE188" s="987">
        <v>3.0000000000000001E-3</v>
      </c>
      <c r="AF188" s="987">
        <v>3.0000000000000001E-3</v>
      </c>
      <c r="AG188" s="987">
        <v>3.0000000000000001E-3</v>
      </c>
      <c r="AH188" s="989">
        <f t="shared" si="15"/>
        <v>333450</v>
      </c>
    </row>
    <row r="189" spans="1:34" s="287" customFormat="1" ht="25.5">
      <c r="A189" s="1036" t="s">
        <v>160</v>
      </c>
      <c r="B189" s="1304" t="s">
        <v>669</v>
      </c>
      <c r="C189" s="987"/>
      <c r="D189" s="986"/>
      <c r="E189" s="987"/>
      <c r="F189" s="987"/>
      <c r="G189" s="987"/>
      <c r="H189" s="987"/>
      <c r="I189" s="987"/>
      <c r="J189" s="987"/>
      <c r="K189" s="987"/>
      <c r="L189" s="988"/>
      <c r="M189" s="988"/>
      <c r="N189" s="988"/>
      <c r="O189" s="988"/>
      <c r="P189" s="987"/>
      <c r="Q189" s="987"/>
      <c r="R189" s="987"/>
      <c r="S189" s="987"/>
      <c r="T189" s="987">
        <v>1</v>
      </c>
      <c r="U189" s="987"/>
      <c r="V189" s="987"/>
      <c r="W189" s="987"/>
      <c r="X189" s="987"/>
      <c r="Y189" s="987"/>
      <c r="Z189" s="987"/>
      <c r="AA189" s="987">
        <f t="shared" si="14"/>
        <v>1</v>
      </c>
      <c r="AB189" s="987" t="s">
        <v>53</v>
      </c>
      <c r="AC189" s="987" t="s">
        <v>69</v>
      </c>
      <c r="AD189" s="1036" t="s">
        <v>32</v>
      </c>
      <c r="AE189" s="987">
        <v>3.3000000000000002E-2</v>
      </c>
      <c r="AF189" s="987">
        <v>3.3000000000000002E-2</v>
      </c>
      <c r="AG189" s="987">
        <v>3.3000000000000002E-2</v>
      </c>
      <c r="AH189" s="989">
        <f t="shared" si="15"/>
        <v>296770.5</v>
      </c>
    </row>
    <row r="190" spans="1:34" s="287" customFormat="1" ht="30" customHeight="1">
      <c r="A190" s="1036" t="s">
        <v>161</v>
      </c>
      <c r="B190" s="1304" t="s">
        <v>178</v>
      </c>
      <c r="C190" s="987"/>
      <c r="D190" s="986"/>
      <c r="E190" s="987"/>
      <c r="F190" s="987"/>
      <c r="G190" s="987"/>
      <c r="H190" s="987"/>
      <c r="I190" s="987"/>
      <c r="J190" s="987"/>
      <c r="K190" s="987"/>
      <c r="L190" s="988"/>
      <c r="M190" s="988"/>
      <c r="N190" s="988"/>
      <c r="O190" s="988"/>
      <c r="P190" s="987"/>
      <c r="Q190" s="987"/>
      <c r="R190" s="987"/>
      <c r="S190" s="987"/>
      <c r="T190" s="987"/>
      <c r="U190" s="987">
        <v>1</v>
      </c>
      <c r="V190" s="987"/>
      <c r="W190" s="987"/>
      <c r="X190" s="987"/>
      <c r="Y190" s="987"/>
      <c r="Z190" s="987"/>
      <c r="AA190" s="987">
        <f t="shared" si="14"/>
        <v>1</v>
      </c>
      <c r="AB190" s="987" t="s">
        <v>53</v>
      </c>
      <c r="AC190" s="987" t="s">
        <v>106</v>
      </c>
      <c r="AD190" s="1036" t="s">
        <v>32</v>
      </c>
      <c r="AE190" s="990">
        <v>0.2</v>
      </c>
      <c r="AF190" s="990"/>
      <c r="AG190" s="990">
        <v>0.2</v>
      </c>
      <c r="AH190" s="989">
        <f t="shared" si="15"/>
        <v>333450</v>
      </c>
    </row>
    <row r="191" spans="1:34" s="287" customFormat="1" ht="24" customHeight="1">
      <c r="A191" s="1036" t="s">
        <v>162</v>
      </c>
      <c r="B191" s="986" t="s">
        <v>179</v>
      </c>
      <c r="C191" s="987"/>
      <c r="D191" s="997"/>
      <c r="E191" s="997"/>
      <c r="F191" s="997"/>
      <c r="G191" s="997"/>
      <c r="H191" s="997"/>
      <c r="I191" s="997"/>
      <c r="J191" s="997"/>
      <c r="K191" s="997"/>
      <c r="L191" s="997"/>
      <c r="M191" s="997"/>
      <c r="N191" s="997"/>
      <c r="O191" s="997"/>
      <c r="P191" s="997"/>
      <c r="Q191" s="997"/>
      <c r="R191" s="997"/>
      <c r="S191" s="997"/>
      <c r="T191" s="997"/>
      <c r="U191" s="997"/>
      <c r="V191" s="997"/>
      <c r="W191" s="997"/>
      <c r="X191" s="997"/>
      <c r="Y191" s="997"/>
      <c r="Z191" s="997"/>
      <c r="AA191" s="987"/>
      <c r="AB191" s="997"/>
      <c r="AC191" s="997"/>
      <c r="AD191" s="997"/>
      <c r="AE191" s="997"/>
      <c r="AF191" s="997"/>
      <c r="AG191" s="997"/>
      <c r="AH191" s="997"/>
    </row>
    <row r="192" spans="1:34" s="285" customFormat="1">
      <c r="A192" s="1041" t="s">
        <v>163</v>
      </c>
      <c r="B192" s="1039" t="s">
        <v>181</v>
      </c>
      <c r="C192" s="987"/>
      <c r="D192" s="986"/>
      <c r="E192" s="987"/>
      <c r="F192" s="987"/>
      <c r="G192" s="987"/>
      <c r="H192" s="987"/>
      <c r="I192" s="987"/>
      <c r="J192" s="987"/>
      <c r="K192" s="987"/>
      <c r="L192" s="988"/>
      <c r="M192" s="988"/>
      <c r="N192" s="988"/>
      <c r="O192" s="988"/>
      <c r="P192" s="987"/>
      <c r="Q192" s="987"/>
      <c r="R192" s="987"/>
      <c r="S192" s="987"/>
      <c r="T192" s="987">
        <v>1</v>
      </c>
      <c r="U192" s="987"/>
      <c r="V192" s="987"/>
      <c r="W192" s="987"/>
      <c r="X192" s="987"/>
      <c r="Y192" s="987"/>
      <c r="Z192" s="987"/>
      <c r="AA192" s="987">
        <f t="shared" si="14"/>
        <v>1</v>
      </c>
      <c r="AB192" s="987" t="s">
        <v>145</v>
      </c>
      <c r="AC192" s="987" t="s">
        <v>69</v>
      </c>
      <c r="AD192" s="1036" t="s">
        <v>32</v>
      </c>
      <c r="AE192" s="990">
        <v>0.1</v>
      </c>
      <c r="AF192" s="990">
        <v>0.1</v>
      </c>
      <c r="AG192" s="990">
        <v>0.1</v>
      </c>
      <c r="AH192" s="989">
        <f t="shared" si="15"/>
        <v>296770.5</v>
      </c>
    </row>
    <row r="193" spans="1:34" s="285" customFormat="1">
      <c r="A193" s="1297" t="s">
        <v>164</v>
      </c>
      <c r="B193" s="1295" t="s">
        <v>182</v>
      </c>
      <c r="C193" s="1046"/>
      <c r="D193" s="1045"/>
      <c r="E193" s="1046"/>
      <c r="F193" s="1046"/>
      <c r="G193" s="1046"/>
      <c r="H193" s="1046"/>
      <c r="I193" s="1046"/>
      <c r="J193" s="1046"/>
      <c r="K193" s="1046"/>
      <c r="L193" s="1047"/>
      <c r="M193" s="1047"/>
      <c r="N193" s="1047"/>
      <c r="O193" s="1047"/>
      <c r="P193" s="1046"/>
      <c r="Q193" s="1046"/>
      <c r="R193" s="1046"/>
      <c r="S193" s="1046"/>
      <c r="T193" s="1046">
        <v>1</v>
      </c>
      <c r="U193" s="1046"/>
      <c r="V193" s="1046"/>
      <c r="W193" s="1046"/>
      <c r="X193" s="1046"/>
      <c r="Y193" s="1046"/>
      <c r="Z193" s="1046"/>
      <c r="AA193" s="1046">
        <f t="shared" si="14"/>
        <v>1</v>
      </c>
      <c r="AB193" s="1046" t="s">
        <v>145</v>
      </c>
      <c r="AC193" s="1046" t="s">
        <v>69</v>
      </c>
      <c r="AD193" s="1044" t="s">
        <v>32</v>
      </c>
      <c r="AE193" s="1048">
        <v>0.15</v>
      </c>
      <c r="AF193" s="1048">
        <v>0.2</v>
      </c>
      <c r="AG193" s="1048">
        <v>0.2</v>
      </c>
      <c r="AH193" s="1050">
        <f t="shared" si="15"/>
        <v>296770.5</v>
      </c>
    </row>
    <row r="194" spans="1:34" s="287" customFormat="1" ht="17.25" customHeight="1">
      <c r="A194" s="1036" t="s">
        <v>165</v>
      </c>
      <c r="B194" s="986" t="s">
        <v>670</v>
      </c>
      <c r="C194" s="987"/>
      <c r="D194" s="986"/>
      <c r="E194" s="987"/>
      <c r="F194" s="987"/>
      <c r="G194" s="987"/>
      <c r="H194" s="987"/>
      <c r="I194" s="987"/>
      <c r="J194" s="987"/>
      <c r="K194" s="987"/>
      <c r="L194" s="988"/>
      <c r="M194" s="988"/>
      <c r="N194" s="988"/>
      <c r="O194" s="988"/>
      <c r="P194" s="987"/>
      <c r="Q194" s="987"/>
      <c r="R194" s="987"/>
      <c r="S194" s="987"/>
      <c r="T194" s="987"/>
      <c r="U194" s="987">
        <v>1</v>
      </c>
      <c r="V194" s="987"/>
      <c r="W194" s="987"/>
      <c r="X194" s="987"/>
      <c r="Y194" s="987"/>
      <c r="Z194" s="987"/>
      <c r="AA194" s="987">
        <f t="shared" si="14"/>
        <v>1</v>
      </c>
      <c r="AB194" s="987" t="s">
        <v>53</v>
      </c>
      <c r="AC194" s="1305" t="s">
        <v>106</v>
      </c>
      <c r="AD194" s="1036" t="s">
        <v>32</v>
      </c>
      <c r="AE194" s="987">
        <v>0.5</v>
      </c>
      <c r="AF194" s="987">
        <v>0.5</v>
      </c>
      <c r="AG194" s="987">
        <v>0.65</v>
      </c>
      <c r="AH194" s="989">
        <f t="shared" si="15"/>
        <v>333450</v>
      </c>
    </row>
    <row r="195" spans="1:34" s="287" customFormat="1" ht="25.5">
      <c r="A195" s="1036" t="s">
        <v>37</v>
      </c>
      <c r="B195" s="986" t="s">
        <v>612</v>
      </c>
      <c r="C195" s="987"/>
      <c r="D195" s="986"/>
      <c r="E195" s="987"/>
      <c r="F195" s="987"/>
      <c r="G195" s="987"/>
      <c r="H195" s="987"/>
      <c r="I195" s="987"/>
      <c r="J195" s="987"/>
      <c r="K195" s="987"/>
      <c r="L195" s="988"/>
      <c r="M195" s="988"/>
      <c r="N195" s="988"/>
      <c r="O195" s="988"/>
      <c r="P195" s="987"/>
      <c r="Q195" s="987"/>
      <c r="R195" s="987"/>
      <c r="S195" s="987"/>
      <c r="T195" s="987">
        <v>1</v>
      </c>
      <c r="U195" s="987"/>
      <c r="V195" s="987"/>
      <c r="W195" s="987"/>
      <c r="X195" s="987"/>
      <c r="Y195" s="987"/>
      <c r="Z195" s="987"/>
      <c r="AA195" s="987">
        <f t="shared" si="14"/>
        <v>1</v>
      </c>
      <c r="AB195" s="987" t="s">
        <v>53</v>
      </c>
      <c r="AC195" s="987" t="s">
        <v>69</v>
      </c>
      <c r="AD195" s="1036" t="s">
        <v>32</v>
      </c>
      <c r="AE195" s="987">
        <v>0.47</v>
      </c>
      <c r="AF195" s="987">
        <v>0.47</v>
      </c>
      <c r="AG195" s="987">
        <v>0.61099999999999999</v>
      </c>
      <c r="AH195" s="989">
        <f t="shared" si="15"/>
        <v>296770.5</v>
      </c>
    </row>
    <row r="196" spans="1:34" s="287" customFormat="1" ht="17.25" customHeight="1">
      <c r="A196" s="1036" t="s">
        <v>38</v>
      </c>
      <c r="B196" s="986" t="s">
        <v>186</v>
      </c>
      <c r="C196" s="987"/>
      <c r="D196" s="986"/>
      <c r="E196" s="987"/>
      <c r="F196" s="987"/>
      <c r="G196" s="987"/>
      <c r="H196" s="987"/>
      <c r="I196" s="987"/>
      <c r="J196" s="987"/>
      <c r="K196" s="987"/>
      <c r="L196" s="988"/>
      <c r="M196" s="988"/>
      <c r="N196" s="988"/>
      <c r="O196" s="988"/>
      <c r="P196" s="987"/>
      <c r="Q196" s="987"/>
      <c r="R196" s="987"/>
      <c r="S196" s="987"/>
      <c r="T196" s="987"/>
      <c r="U196" s="987">
        <v>1</v>
      </c>
      <c r="V196" s="987"/>
      <c r="W196" s="987"/>
      <c r="X196" s="987"/>
      <c r="Y196" s="987"/>
      <c r="Z196" s="987"/>
      <c r="AA196" s="987">
        <f t="shared" si="14"/>
        <v>1</v>
      </c>
      <c r="AB196" s="987" t="s">
        <v>1</v>
      </c>
      <c r="AC196" s="987" t="s">
        <v>106</v>
      </c>
      <c r="AD196" s="1036" t="s">
        <v>32</v>
      </c>
      <c r="AE196" s="987">
        <v>3.3000000000000002E-2</v>
      </c>
      <c r="AF196" s="987">
        <v>3.3000000000000002E-2</v>
      </c>
      <c r="AG196" s="987">
        <v>3.3000000000000002E-2</v>
      </c>
      <c r="AH196" s="989">
        <f t="shared" si="15"/>
        <v>333450</v>
      </c>
    </row>
    <row r="197" spans="1:34" s="287" customFormat="1" ht="18" customHeight="1">
      <c r="A197" s="1036" t="s">
        <v>184</v>
      </c>
      <c r="B197" s="986" t="s">
        <v>671</v>
      </c>
      <c r="C197" s="987"/>
      <c r="D197" s="986"/>
      <c r="E197" s="987"/>
      <c r="F197" s="987"/>
      <c r="G197" s="987"/>
      <c r="H197" s="987"/>
      <c r="I197" s="987"/>
      <c r="J197" s="987"/>
      <c r="K197" s="987"/>
      <c r="L197" s="988"/>
      <c r="M197" s="988"/>
      <c r="N197" s="988"/>
      <c r="O197" s="988"/>
      <c r="P197" s="987"/>
      <c r="Q197" s="987"/>
      <c r="R197" s="987"/>
      <c r="S197" s="987"/>
      <c r="T197" s="987"/>
      <c r="U197" s="987"/>
      <c r="V197" s="987"/>
      <c r="W197" s="987"/>
      <c r="X197" s="987"/>
      <c r="Y197" s="987"/>
      <c r="Z197" s="987"/>
      <c r="AA197" s="987">
        <f t="shared" si="14"/>
        <v>0</v>
      </c>
      <c r="AB197" s="987"/>
      <c r="AC197" s="987"/>
      <c r="AD197" s="1036"/>
      <c r="AE197" s="987"/>
      <c r="AF197" s="987"/>
      <c r="AG197" s="987"/>
      <c r="AH197" s="989">
        <f t="shared" si="15"/>
        <v>0</v>
      </c>
    </row>
    <row r="198" spans="1:34" s="285" customFormat="1" ht="18" customHeight="1">
      <c r="A198" s="1041" t="s">
        <v>224</v>
      </c>
      <c r="B198" s="1039" t="s">
        <v>190</v>
      </c>
      <c r="C198" s="1038"/>
      <c r="D198" s="1039"/>
      <c r="E198" s="1038"/>
      <c r="F198" s="1038"/>
      <c r="G198" s="1038"/>
      <c r="H198" s="1038"/>
      <c r="I198" s="1038"/>
      <c r="J198" s="1038"/>
      <c r="K198" s="1038"/>
      <c r="L198" s="1040"/>
      <c r="M198" s="1040"/>
      <c r="N198" s="1040"/>
      <c r="O198" s="1040"/>
      <c r="P198" s="1038"/>
      <c r="Q198" s="1038"/>
      <c r="R198" s="1038"/>
      <c r="S198" s="1038">
        <v>1</v>
      </c>
      <c r="T198" s="1038"/>
      <c r="U198" s="1038"/>
      <c r="V198" s="1038"/>
      <c r="W198" s="1038"/>
      <c r="X198" s="1038"/>
      <c r="Y198" s="1038"/>
      <c r="Z198" s="1038"/>
      <c r="AA198" s="1038">
        <f t="shared" si="14"/>
        <v>1</v>
      </c>
      <c r="AB198" s="1038" t="s">
        <v>551</v>
      </c>
      <c r="AC198" s="1038" t="s">
        <v>68</v>
      </c>
      <c r="AD198" s="1041" t="s">
        <v>32</v>
      </c>
      <c r="AE198" s="1038">
        <v>1.6E-2</v>
      </c>
      <c r="AF198" s="1038">
        <v>1.6E-2</v>
      </c>
      <c r="AG198" s="1038">
        <v>0.02</v>
      </c>
      <c r="AH198" s="1043">
        <f t="shared" si="15"/>
        <v>260091</v>
      </c>
    </row>
    <row r="199" spans="1:34" s="285" customFormat="1" ht="18" customHeight="1">
      <c r="A199" s="1041" t="s">
        <v>225</v>
      </c>
      <c r="B199" s="1039" t="s">
        <v>191</v>
      </c>
      <c r="C199" s="1038"/>
      <c r="D199" s="1039"/>
      <c r="E199" s="1038"/>
      <c r="F199" s="1038"/>
      <c r="G199" s="1038"/>
      <c r="H199" s="1038"/>
      <c r="I199" s="1038"/>
      <c r="J199" s="1038"/>
      <c r="K199" s="1038"/>
      <c r="L199" s="1040"/>
      <c r="M199" s="1040"/>
      <c r="N199" s="1040"/>
      <c r="O199" s="1040"/>
      <c r="P199" s="1038"/>
      <c r="Q199" s="1038"/>
      <c r="R199" s="1038"/>
      <c r="S199" s="1038">
        <v>1</v>
      </c>
      <c r="T199" s="1038"/>
      <c r="U199" s="1038"/>
      <c r="V199" s="1038"/>
      <c r="W199" s="1038"/>
      <c r="X199" s="1038"/>
      <c r="Y199" s="1038"/>
      <c r="Z199" s="1038"/>
      <c r="AA199" s="1038">
        <f t="shared" si="14"/>
        <v>1</v>
      </c>
      <c r="AB199" s="1038" t="s">
        <v>551</v>
      </c>
      <c r="AC199" s="1038" t="s">
        <v>68</v>
      </c>
      <c r="AD199" s="1041" t="s">
        <v>32</v>
      </c>
      <c r="AE199" s="1038">
        <v>8.0000000000000002E-3</v>
      </c>
      <c r="AF199" s="1038">
        <v>8.0000000000000002E-3</v>
      </c>
      <c r="AG199" s="1038">
        <v>0.01</v>
      </c>
      <c r="AH199" s="1043">
        <f t="shared" si="15"/>
        <v>260091</v>
      </c>
    </row>
    <row r="200" spans="1:34" s="287" customFormat="1" ht="38.25">
      <c r="A200" s="1036" t="s">
        <v>185</v>
      </c>
      <c r="B200" s="986" t="s">
        <v>192</v>
      </c>
      <c r="C200" s="987"/>
      <c r="D200" s="986"/>
      <c r="E200" s="987"/>
      <c r="F200" s="987"/>
      <c r="G200" s="987"/>
      <c r="H200" s="987"/>
      <c r="I200" s="987"/>
      <c r="J200" s="987"/>
      <c r="K200" s="987"/>
      <c r="L200" s="988"/>
      <c r="M200" s="988"/>
      <c r="N200" s="988"/>
      <c r="O200" s="988"/>
      <c r="P200" s="987"/>
      <c r="Q200" s="987"/>
      <c r="R200" s="987"/>
      <c r="S200" s="987">
        <v>1</v>
      </c>
      <c r="T200" s="987"/>
      <c r="U200" s="987"/>
      <c r="V200" s="987"/>
      <c r="W200" s="987"/>
      <c r="X200" s="987"/>
      <c r="Y200" s="987"/>
      <c r="Z200" s="987"/>
      <c r="AA200" s="987">
        <f t="shared" si="14"/>
        <v>1</v>
      </c>
      <c r="AB200" s="987" t="s">
        <v>551</v>
      </c>
      <c r="AC200" s="987" t="s">
        <v>68</v>
      </c>
      <c r="AD200" s="1036" t="s">
        <v>32</v>
      </c>
      <c r="AE200" s="987">
        <v>4.0000000000000001E-3</v>
      </c>
      <c r="AF200" s="987">
        <v>4.0000000000000001E-3</v>
      </c>
      <c r="AG200" s="987">
        <v>5.0000000000000001E-3</v>
      </c>
      <c r="AH200" s="989">
        <f t="shared" si="15"/>
        <v>260091</v>
      </c>
    </row>
    <row r="201" spans="1:34" s="287" customFormat="1" ht="25.5">
      <c r="A201" s="1036" t="s">
        <v>187</v>
      </c>
      <c r="B201" s="986" t="s">
        <v>193</v>
      </c>
      <c r="C201" s="987"/>
      <c r="D201" s="986"/>
      <c r="E201" s="987"/>
      <c r="F201" s="987"/>
      <c r="G201" s="987"/>
      <c r="H201" s="987"/>
      <c r="I201" s="987"/>
      <c r="J201" s="987"/>
      <c r="K201" s="987"/>
      <c r="L201" s="988"/>
      <c r="M201" s="988"/>
      <c r="N201" s="988"/>
      <c r="O201" s="988"/>
      <c r="P201" s="987"/>
      <c r="Q201" s="987"/>
      <c r="R201" s="987"/>
      <c r="S201" s="987">
        <v>1</v>
      </c>
      <c r="T201" s="987"/>
      <c r="U201" s="987"/>
      <c r="V201" s="987"/>
      <c r="W201" s="987"/>
      <c r="X201" s="987"/>
      <c r="Y201" s="987"/>
      <c r="Z201" s="987"/>
      <c r="AA201" s="987">
        <f t="shared" si="14"/>
        <v>1</v>
      </c>
      <c r="AB201" s="987" t="s">
        <v>1</v>
      </c>
      <c r="AC201" s="987" t="s">
        <v>68</v>
      </c>
      <c r="AD201" s="1036" t="s">
        <v>32</v>
      </c>
      <c r="AE201" s="987">
        <v>0.01</v>
      </c>
      <c r="AF201" s="987">
        <v>0.01</v>
      </c>
      <c r="AG201" s="987">
        <v>1.2999999999999999E-2</v>
      </c>
      <c r="AH201" s="989">
        <f t="shared" si="15"/>
        <v>260091</v>
      </c>
    </row>
    <row r="202" spans="1:34" s="287" customFormat="1" ht="38.25">
      <c r="A202" s="1036" t="s">
        <v>194</v>
      </c>
      <c r="B202" s="1321" t="s">
        <v>972</v>
      </c>
      <c r="C202" s="987"/>
      <c r="D202" s="986"/>
      <c r="E202" s="987"/>
      <c r="F202" s="987"/>
      <c r="G202" s="987"/>
      <c r="H202" s="987"/>
      <c r="I202" s="987"/>
      <c r="J202" s="987"/>
      <c r="K202" s="987"/>
      <c r="L202" s="988"/>
      <c r="M202" s="988"/>
      <c r="N202" s="988"/>
      <c r="O202" s="988"/>
      <c r="P202" s="987"/>
      <c r="Q202" s="987"/>
      <c r="R202" s="987"/>
      <c r="S202" s="987"/>
      <c r="T202" s="987">
        <v>1</v>
      </c>
      <c r="U202" s="987"/>
      <c r="V202" s="987"/>
      <c r="W202" s="987"/>
      <c r="X202" s="987"/>
      <c r="Y202" s="987"/>
      <c r="Z202" s="987"/>
      <c r="AA202" s="987">
        <f t="shared" si="14"/>
        <v>1</v>
      </c>
      <c r="AB202" s="987" t="s">
        <v>53</v>
      </c>
      <c r="AC202" s="987" t="s">
        <v>69</v>
      </c>
      <c r="AD202" s="1036" t="s">
        <v>32</v>
      </c>
      <c r="AE202" s="987">
        <v>0.2</v>
      </c>
      <c r="AF202" s="987">
        <v>0.2</v>
      </c>
      <c r="AG202" s="987">
        <v>0.26</v>
      </c>
      <c r="AH202" s="989">
        <f t="shared" si="15"/>
        <v>296770.5</v>
      </c>
    </row>
    <row r="203" spans="1:34" s="287" customFormat="1" ht="51">
      <c r="A203" s="1036" t="s">
        <v>195</v>
      </c>
      <c r="B203" s="986" t="s">
        <v>654</v>
      </c>
      <c r="C203" s="987"/>
      <c r="D203" s="986"/>
      <c r="E203" s="987"/>
      <c r="F203" s="987"/>
      <c r="G203" s="987"/>
      <c r="H203" s="987"/>
      <c r="I203" s="987"/>
      <c r="J203" s="987"/>
      <c r="K203" s="987"/>
      <c r="L203" s="988"/>
      <c r="M203" s="988"/>
      <c r="N203" s="988"/>
      <c r="O203" s="988"/>
      <c r="P203" s="987"/>
      <c r="Q203" s="987"/>
      <c r="R203" s="987"/>
      <c r="S203" s="987"/>
      <c r="T203" s="987">
        <v>1</v>
      </c>
      <c r="U203" s="987"/>
      <c r="V203" s="987"/>
      <c r="W203" s="987"/>
      <c r="X203" s="987"/>
      <c r="Y203" s="987"/>
      <c r="Z203" s="987"/>
      <c r="AA203" s="987">
        <f t="shared" si="14"/>
        <v>1</v>
      </c>
      <c r="AB203" s="987" t="s">
        <v>53</v>
      </c>
      <c r="AC203" s="987" t="s">
        <v>69</v>
      </c>
      <c r="AD203" s="1036" t="s">
        <v>32</v>
      </c>
      <c r="AE203" s="987">
        <v>0.2</v>
      </c>
      <c r="AF203" s="987">
        <v>0.2</v>
      </c>
      <c r="AG203" s="987">
        <v>0.26</v>
      </c>
      <c r="AH203" s="989">
        <f t="shared" si="15"/>
        <v>296770.5</v>
      </c>
    </row>
    <row r="204" spans="1:34" ht="22.15" customHeight="1">
      <c r="A204" s="110" t="s">
        <v>128</v>
      </c>
      <c r="B204" s="883" t="s">
        <v>258</v>
      </c>
      <c r="C204" s="884"/>
      <c r="D204" s="884"/>
      <c r="E204" s="884"/>
      <c r="F204" s="884"/>
      <c r="G204" s="884"/>
      <c r="H204" s="884"/>
      <c r="I204" s="884"/>
      <c r="J204" s="884"/>
      <c r="K204" s="884"/>
      <c r="L204" s="884"/>
      <c r="M204" s="884"/>
      <c r="N204" s="884"/>
      <c r="O204" s="884"/>
      <c r="P204" s="884"/>
      <c r="Q204" s="884"/>
      <c r="R204" s="884"/>
      <c r="S204" s="884"/>
      <c r="T204" s="884"/>
      <c r="U204" s="884"/>
      <c r="V204" s="884"/>
      <c r="W204" s="884"/>
      <c r="X204" s="884"/>
      <c r="Y204" s="884"/>
      <c r="Z204" s="884"/>
      <c r="AA204" s="884"/>
      <c r="AB204" s="884"/>
      <c r="AC204" s="884"/>
      <c r="AD204" s="887"/>
      <c r="AE204" s="81"/>
      <c r="AF204" s="104"/>
      <c r="AG204" s="104"/>
      <c r="AH204" s="457"/>
    </row>
    <row r="205" spans="1:34" ht="34.15" customHeight="1">
      <c r="A205" s="1085" t="s">
        <v>33</v>
      </c>
      <c r="B205" s="1386" t="s">
        <v>744</v>
      </c>
      <c r="C205" s="1387"/>
      <c r="D205" s="1387"/>
      <c r="E205" s="1387"/>
      <c r="F205" s="1387"/>
      <c r="G205" s="1387"/>
      <c r="H205" s="1387"/>
      <c r="I205" s="1387"/>
      <c r="J205" s="1387"/>
      <c r="K205" s="1387"/>
      <c r="L205" s="1387"/>
      <c r="M205" s="1387"/>
      <c r="N205" s="1387"/>
      <c r="O205" s="1387"/>
      <c r="P205" s="1387"/>
      <c r="Q205" s="1387"/>
      <c r="R205" s="1387"/>
      <c r="S205" s="1387"/>
      <c r="T205" s="1387"/>
      <c r="U205" s="1387"/>
      <c r="V205" s="1387"/>
      <c r="W205" s="1387"/>
      <c r="X205" s="1387"/>
      <c r="Y205" s="1387"/>
      <c r="Z205" s="1387"/>
      <c r="AA205" s="1387"/>
      <c r="AB205" s="1387"/>
      <c r="AC205" s="1387"/>
      <c r="AD205" s="1388"/>
      <c r="AE205" s="78"/>
      <c r="AF205" s="103"/>
      <c r="AG205" s="103"/>
      <c r="AH205" s="113"/>
    </row>
    <row r="206" spans="1:34" ht="30" customHeight="1">
      <c r="A206" s="1085" t="s">
        <v>34</v>
      </c>
      <c r="B206" s="1386" t="s">
        <v>716</v>
      </c>
      <c r="C206" s="1387"/>
      <c r="D206" s="1387"/>
      <c r="E206" s="1387"/>
      <c r="F206" s="1387"/>
      <c r="G206" s="1387"/>
      <c r="H206" s="1387"/>
      <c r="I206" s="1387"/>
      <c r="J206" s="1387"/>
      <c r="K206" s="1387"/>
      <c r="L206" s="1387"/>
      <c r="M206" s="1387"/>
      <c r="N206" s="1387"/>
      <c r="O206" s="1387"/>
      <c r="P206" s="1387"/>
      <c r="Q206" s="1387"/>
      <c r="R206" s="1387"/>
      <c r="S206" s="1387"/>
      <c r="T206" s="1387"/>
      <c r="U206" s="1387"/>
      <c r="V206" s="1387"/>
      <c r="W206" s="1387"/>
      <c r="X206" s="1387"/>
      <c r="Y206" s="1387"/>
      <c r="Z206" s="1387"/>
      <c r="AA206" s="1387"/>
      <c r="AB206" s="1387"/>
      <c r="AC206" s="1387"/>
      <c r="AD206" s="1388"/>
      <c r="AE206" s="78"/>
      <c r="AF206" s="103"/>
      <c r="AG206" s="103"/>
      <c r="AH206" s="113"/>
    </row>
    <row r="207" spans="1:34" ht="33.6" customHeight="1">
      <c r="A207" s="1085" t="s">
        <v>35</v>
      </c>
      <c r="B207" s="1386" t="s">
        <v>717</v>
      </c>
      <c r="C207" s="1387"/>
      <c r="D207" s="1387"/>
      <c r="E207" s="1387"/>
      <c r="F207" s="1387"/>
      <c r="G207" s="1387"/>
      <c r="H207" s="1387"/>
      <c r="I207" s="1387"/>
      <c r="J207" s="1387"/>
      <c r="K207" s="1387"/>
      <c r="L207" s="1387"/>
      <c r="M207" s="1387"/>
      <c r="N207" s="1387"/>
      <c r="O207" s="1387"/>
      <c r="P207" s="1387"/>
      <c r="Q207" s="1387"/>
      <c r="R207" s="1387"/>
      <c r="S207" s="1387"/>
      <c r="T207" s="1387"/>
      <c r="U207" s="1387"/>
      <c r="V207" s="1387"/>
      <c r="W207" s="1387"/>
      <c r="X207" s="1387"/>
      <c r="Y207" s="1387"/>
      <c r="Z207" s="1387"/>
      <c r="AA207" s="1387"/>
      <c r="AB207" s="1387"/>
      <c r="AC207" s="1387"/>
      <c r="AD207" s="1388"/>
      <c r="AE207" s="78"/>
      <c r="AF207" s="103"/>
      <c r="AG207" s="103"/>
      <c r="AH207" s="113"/>
    </row>
    <row r="208" spans="1:34">
      <c r="A208" s="82"/>
      <c r="B208" s="80"/>
      <c r="C208" s="78"/>
      <c r="D208" s="80"/>
      <c r="E208" s="78"/>
      <c r="F208" s="78"/>
      <c r="G208" s="78"/>
      <c r="H208" s="78"/>
      <c r="I208" s="78"/>
      <c r="J208" s="78"/>
      <c r="K208" s="78"/>
      <c r="L208" s="112"/>
      <c r="M208" s="112"/>
      <c r="N208" s="112"/>
      <c r="O208" s="112"/>
      <c r="P208" s="78"/>
      <c r="Q208" s="78"/>
      <c r="R208" s="78"/>
      <c r="S208" s="78"/>
      <c r="T208" s="78"/>
      <c r="U208" s="78"/>
      <c r="V208" s="78"/>
      <c r="W208" s="78"/>
      <c r="X208" s="78"/>
      <c r="Y208" s="78"/>
      <c r="Z208" s="78"/>
      <c r="AA208" s="78"/>
      <c r="AB208" s="78"/>
      <c r="AC208" s="78"/>
      <c r="AD208" s="79"/>
      <c r="AE208" s="78"/>
      <c r="AF208" s="103"/>
      <c r="AG208" s="103"/>
      <c r="AH208" s="113">
        <f t="shared" si="15"/>
        <v>0</v>
      </c>
    </row>
    <row r="209" spans="1:32" ht="18" customHeight="1">
      <c r="A209" s="873" t="s">
        <v>672</v>
      </c>
      <c r="B209" s="1400" t="s">
        <v>973</v>
      </c>
      <c r="C209" s="1400"/>
      <c r="D209" s="1400"/>
      <c r="E209" s="1400"/>
      <c r="F209" s="1400"/>
      <c r="G209" s="1400"/>
      <c r="H209" s="1400"/>
      <c r="I209" s="1400"/>
      <c r="J209" s="1400"/>
      <c r="K209" s="1400"/>
      <c r="L209" s="1400"/>
      <c r="M209" s="1400"/>
      <c r="N209" s="1400"/>
      <c r="O209" s="1400"/>
      <c r="P209" s="1400"/>
      <c r="Q209" s="1400"/>
      <c r="R209" s="1400"/>
      <c r="S209" s="1400"/>
      <c r="T209" s="1400"/>
      <c r="U209" s="1400"/>
      <c r="V209" s="1400"/>
      <c r="W209" s="1400"/>
      <c r="X209" s="1400"/>
      <c r="Y209" s="1400"/>
      <c r="Z209" s="1400"/>
      <c r="AA209" s="1400"/>
      <c r="AB209" s="1400"/>
      <c r="AC209" s="1400"/>
      <c r="AD209" s="1400"/>
      <c r="AE209" s="1400"/>
      <c r="AF209" s="949" t="s">
        <v>341</v>
      </c>
    </row>
    <row r="210" spans="1:32" ht="22.15" customHeight="1">
      <c r="A210" s="938" t="s">
        <v>129</v>
      </c>
      <c r="B210" s="1390" t="s">
        <v>961</v>
      </c>
      <c r="C210" s="1390"/>
      <c r="D210" s="1390"/>
      <c r="E210" s="1390"/>
      <c r="F210" s="1390"/>
      <c r="G210" s="1390"/>
      <c r="H210" s="1390"/>
      <c r="I210" s="1390"/>
      <c r="J210" s="1390"/>
      <c r="K210" s="1390"/>
      <c r="L210" s="1390"/>
      <c r="M210" s="1390"/>
      <c r="N210" s="1390"/>
      <c r="O210" s="1390"/>
      <c r="P210" s="1390"/>
      <c r="Q210" s="1390"/>
      <c r="R210" s="1390"/>
      <c r="S210" s="1390"/>
      <c r="T210" s="1390"/>
      <c r="U210" s="1390"/>
      <c r="V210" s="1390"/>
      <c r="W210" s="1390"/>
      <c r="X210" s="1390"/>
      <c r="Y210" s="1390"/>
      <c r="Z210" s="1390"/>
      <c r="AA210" s="1390"/>
      <c r="AB210" s="1390"/>
      <c r="AC210" s="1390"/>
      <c r="AD210" s="1390"/>
      <c r="AE210" s="1390"/>
      <c r="AF210" s="165"/>
    </row>
    <row r="211" spans="1:32" s="287" customFormat="1" ht="23.25" customHeight="1">
      <c r="A211" s="1036" t="s">
        <v>33</v>
      </c>
      <c r="B211" s="986" t="s">
        <v>148</v>
      </c>
      <c r="C211" s="987"/>
      <c r="D211" s="986"/>
      <c r="E211" s="987"/>
      <c r="F211" s="987"/>
      <c r="G211" s="987"/>
      <c r="H211" s="987"/>
      <c r="I211" s="987"/>
      <c r="J211" s="987"/>
      <c r="K211" s="987"/>
      <c r="L211" s="988"/>
      <c r="M211" s="988"/>
      <c r="N211" s="988"/>
      <c r="O211" s="988"/>
      <c r="P211" s="987"/>
      <c r="Q211" s="987"/>
      <c r="R211" s="987"/>
      <c r="S211" s="987"/>
      <c r="T211" s="987"/>
      <c r="U211" s="987"/>
      <c r="V211" s="987"/>
      <c r="W211" s="987"/>
      <c r="X211" s="987"/>
      <c r="Y211" s="987"/>
      <c r="Z211" s="987"/>
      <c r="AA211" s="987">
        <f t="shared" ref="AA211:AA257" si="16">SUM(C211:Z211)</f>
        <v>0</v>
      </c>
      <c r="AB211" s="986"/>
      <c r="AC211" s="986"/>
      <c r="AD211" s="987"/>
      <c r="AE211" s="986"/>
      <c r="AF211" s="989">
        <f t="shared" ref="AF211:AF229" si="17">(C211*C$6+D211*D$6+E211*E$6+F211*F$6+G211*G$6+H211*H$6+I211*I$6+J211*J$6+K211*K$6+L211*L$6+M211*M$6+N211*N$6+O211*O$6+P211*P$6+Q211*Q$6+R211*R$6+S211*S$6+T211*T$6+U211*U$6+V211*V$6+W211*W$6+X211*X$6+Y211*Y$6+Z211*Z$6)</f>
        <v>0</v>
      </c>
    </row>
    <row r="212" spans="1:32" s="287" customFormat="1">
      <c r="A212" s="1036" t="s">
        <v>134</v>
      </c>
      <c r="B212" s="986" t="s">
        <v>745</v>
      </c>
      <c r="C212" s="987"/>
      <c r="D212" s="986"/>
      <c r="E212" s="987"/>
      <c r="F212" s="987"/>
      <c r="G212" s="987"/>
      <c r="H212" s="987"/>
      <c r="I212" s="987"/>
      <c r="J212" s="987">
        <v>1</v>
      </c>
      <c r="K212" s="987"/>
      <c r="L212" s="988"/>
      <c r="M212" s="988"/>
      <c r="N212" s="988"/>
      <c r="O212" s="988"/>
      <c r="P212" s="987"/>
      <c r="Q212" s="987"/>
      <c r="R212" s="987"/>
      <c r="S212" s="987"/>
      <c r="T212" s="987">
        <v>1</v>
      </c>
      <c r="U212" s="987"/>
      <c r="V212" s="987"/>
      <c r="W212" s="987"/>
      <c r="X212" s="987"/>
      <c r="Y212" s="987"/>
      <c r="Z212" s="987"/>
      <c r="AA212" s="987">
        <f t="shared" si="16"/>
        <v>2</v>
      </c>
      <c r="AB212" s="1409" t="s">
        <v>141</v>
      </c>
      <c r="AC212" s="987" t="s">
        <v>545</v>
      </c>
      <c r="AD212" s="1036" t="s">
        <v>32</v>
      </c>
      <c r="AE212" s="988">
        <v>2</v>
      </c>
      <c r="AF212" s="989">
        <f t="shared" si="17"/>
        <v>570199.5</v>
      </c>
    </row>
    <row r="213" spans="1:32" s="287" customFormat="1" ht="27" customHeight="1">
      <c r="A213" s="1036"/>
      <c r="B213" s="986"/>
      <c r="C213" s="987">
        <v>1</v>
      </c>
      <c r="D213" s="986"/>
      <c r="E213" s="987"/>
      <c r="F213" s="987"/>
      <c r="G213" s="987"/>
      <c r="H213" s="987"/>
      <c r="I213" s="987"/>
      <c r="J213" s="987"/>
      <c r="K213" s="987"/>
      <c r="L213" s="988"/>
      <c r="M213" s="988"/>
      <c r="N213" s="988"/>
      <c r="O213" s="988"/>
      <c r="P213" s="987"/>
      <c r="Q213" s="987"/>
      <c r="R213" s="987"/>
      <c r="S213" s="987"/>
      <c r="T213" s="987"/>
      <c r="U213" s="987"/>
      <c r="V213" s="987"/>
      <c r="W213" s="987"/>
      <c r="X213" s="987"/>
      <c r="Y213" s="987"/>
      <c r="Z213" s="987"/>
      <c r="AA213" s="987">
        <f t="shared" si="16"/>
        <v>1</v>
      </c>
      <c r="AB213" s="1410"/>
      <c r="AC213" s="987" t="s">
        <v>202</v>
      </c>
      <c r="AD213" s="1036"/>
      <c r="AE213" s="988">
        <v>2</v>
      </c>
      <c r="AF213" s="989">
        <f t="shared" si="17"/>
        <v>181923.07692307694</v>
      </c>
    </row>
    <row r="214" spans="1:32" s="287" customFormat="1" ht="38.25">
      <c r="A214" s="1036" t="s">
        <v>135</v>
      </c>
      <c r="B214" s="1358" t="s">
        <v>959</v>
      </c>
      <c r="C214" s="987"/>
      <c r="D214" s="986"/>
      <c r="E214" s="987"/>
      <c r="F214" s="987"/>
      <c r="G214" s="987"/>
      <c r="H214" s="987"/>
      <c r="I214" s="987"/>
      <c r="J214" s="987">
        <v>1</v>
      </c>
      <c r="K214" s="987"/>
      <c r="L214" s="988"/>
      <c r="M214" s="988"/>
      <c r="N214" s="988"/>
      <c r="O214" s="988"/>
      <c r="P214" s="987"/>
      <c r="Q214" s="987"/>
      <c r="R214" s="987"/>
      <c r="S214" s="987"/>
      <c r="T214" s="987">
        <v>1</v>
      </c>
      <c r="U214" s="987">
        <v>1</v>
      </c>
      <c r="V214" s="987"/>
      <c r="W214" s="987"/>
      <c r="X214" s="987"/>
      <c r="Y214" s="987"/>
      <c r="Z214" s="987"/>
      <c r="AA214" s="987">
        <f t="shared" si="16"/>
        <v>3</v>
      </c>
      <c r="AB214" s="987" t="s">
        <v>142</v>
      </c>
      <c r="AC214" s="987" t="s">
        <v>546</v>
      </c>
      <c r="AD214" s="1036" t="s">
        <v>32</v>
      </c>
      <c r="AE214" s="988">
        <v>16</v>
      </c>
      <c r="AF214" s="989">
        <f t="shared" si="17"/>
        <v>903649.5</v>
      </c>
    </row>
    <row r="215" spans="1:32" s="287" customFormat="1" ht="25.5">
      <c r="A215" s="1036" t="s">
        <v>149</v>
      </c>
      <c r="B215" s="986" t="s">
        <v>746</v>
      </c>
      <c r="C215" s="987"/>
      <c r="D215" s="986"/>
      <c r="E215" s="987"/>
      <c r="F215" s="987"/>
      <c r="G215" s="987"/>
      <c r="H215" s="987"/>
      <c r="I215" s="987"/>
      <c r="J215" s="987"/>
      <c r="K215" s="987"/>
      <c r="L215" s="988"/>
      <c r="M215" s="988"/>
      <c r="N215" s="988"/>
      <c r="O215" s="988"/>
      <c r="P215" s="987"/>
      <c r="Q215" s="987"/>
      <c r="R215" s="987"/>
      <c r="S215" s="987"/>
      <c r="T215" s="987"/>
      <c r="U215" s="987">
        <v>1</v>
      </c>
      <c r="V215" s="987"/>
      <c r="W215" s="987"/>
      <c r="X215" s="987"/>
      <c r="Y215" s="987"/>
      <c r="Z215" s="987"/>
      <c r="AA215" s="987">
        <f t="shared" si="16"/>
        <v>1</v>
      </c>
      <c r="AB215" s="1409" t="s">
        <v>143</v>
      </c>
      <c r="AC215" s="987" t="s">
        <v>106</v>
      </c>
      <c r="AD215" s="1036" t="s">
        <v>32</v>
      </c>
      <c r="AE215" s="988">
        <v>2.5</v>
      </c>
      <c r="AF215" s="989">
        <f t="shared" si="17"/>
        <v>333450</v>
      </c>
    </row>
    <row r="216" spans="1:32" s="287" customFormat="1">
      <c r="A216" s="1036"/>
      <c r="B216" s="986"/>
      <c r="C216" s="987">
        <v>1</v>
      </c>
      <c r="D216" s="986"/>
      <c r="E216" s="987"/>
      <c r="F216" s="987"/>
      <c r="G216" s="987"/>
      <c r="H216" s="987"/>
      <c r="I216" s="987"/>
      <c r="J216" s="987"/>
      <c r="K216" s="987"/>
      <c r="L216" s="988"/>
      <c r="M216" s="988"/>
      <c r="N216" s="988"/>
      <c r="O216" s="988"/>
      <c r="P216" s="987"/>
      <c r="Q216" s="987"/>
      <c r="R216" s="987"/>
      <c r="S216" s="987"/>
      <c r="T216" s="987"/>
      <c r="U216" s="987"/>
      <c r="V216" s="987"/>
      <c r="W216" s="987"/>
      <c r="X216" s="987"/>
      <c r="Y216" s="987"/>
      <c r="Z216" s="987"/>
      <c r="AA216" s="987">
        <f t="shared" si="16"/>
        <v>1</v>
      </c>
      <c r="AB216" s="1410"/>
      <c r="AC216" s="987" t="s">
        <v>202</v>
      </c>
      <c r="AD216" s="1036"/>
      <c r="AE216" s="988">
        <v>2.5</v>
      </c>
      <c r="AF216" s="989">
        <f t="shared" si="17"/>
        <v>181923.07692307694</v>
      </c>
    </row>
    <row r="217" spans="1:32" s="287" customFormat="1">
      <c r="A217" s="1036" t="s">
        <v>150</v>
      </c>
      <c r="B217" s="986" t="s">
        <v>226</v>
      </c>
      <c r="C217" s="987"/>
      <c r="D217" s="986"/>
      <c r="E217" s="987"/>
      <c r="F217" s="987"/>
      <c r="G217" s="987"/>
      <c r="H217" s="987"/>
      <c r="I217" s="987"/>
      <c r="J217" s="987"/>
      <c r="K217" s="987"/>
      <c r="L217" s="988"/>
      <c r="M217" s="988"/>
      <c r="N217" s="988"/>
      <c r="O217" s="988"/>
      <c r="P217" s="987"/>
      <c r="Q217" s="987"/>
      <c r="R217" s="987"/>
      <c r="S217" s="987"/>
      <c r="T217" s="987"/>
      <c r="U217" s="987"/>
      <c r="V217" s="987"/>
      <c r="W217" s="987"/>
      <c r="X217" s="987"/>
      <c r="Y217" s="987"/>
      <c r="Z217" s="987"/>
      <c r="AA217" s="987">
        <f t="shared" si="16"/>
        <v>0</v>
      </c>
      <c r="AB217" s="987"/>
      <c r="AC217" s="987"/>
      <c r="AD217" s="1036"/>
      <c r="AE217" s="987"/>
      <c r="AF217" s="989">
        <f t="shared" si="17"/>
        <v>0</v>
      </c>
    </row>
    <row r="218" spans="1:32" s="285" customFormat="1">
      <c r="A218" s="1041" t="s">
        <v>152</v>
      </c>
      <c r="B218" s="1039" t="s">
        <v>153</v>
      </c>
      <c r="C218" s="987"/>
      <c r="D218" s="986"/>
      <c r="E218" s="987"/>
      <c r="F218" s="987"/>
      <c r="G218" s="987"/>
      <c r="H218" s="987"/>
      <c r="I218" s="987"/>
      <c r="J218" s="987"/>
      <c r="K218" s="987"/>
      <c r="L218" s="988"/>
      <c r="M218" s="988"/>
      <c r="N218" s="988"/>
      <c r="O218" s="988"/>
      <c r="P218" s="987"/>
      <c r="Q218" s="987"/>
      <c r="R218" s="987"/>
      <c r="S218" s="987"/>
      <c r="T218" s="987">
        <v>1</v>
      </c>
      <c r="U218" s="987"/>
      <c r="V218" s="987"/>
      <c r="W218" s="987"/>
      <c r="X218" s="987"/>
      <c r="Y218" s="987"/>
      <c r="Z218" s="987"/>
      <c r="AA218" s="987">
        <f t="shared" si="16"/>
        <v>1</v>
      </c>
      <c r="AB218" s="987" t="s">
        <v>53</v>
      </c>
      <c r="AC218" s="987" t="s">
        <v>69</v>
      </c>
      <c r="AD218" s="1036" t="s">
        <v>32</v>
      </c>
      <c r="AE218" s="987">
        <v>0.05</v>
      </c>
      <c r="AF218" s="989">
        <f t="shared" si="17"/>
        <v>296770.5</v>
      </c>
    </row>
    <row r="219" spans="1:32" s="991" customFormat="1">
      <c r="A219" s="1041" t="s">
        <v>154</v>
      </c>
      <c r="B219" s="1039" t="s">
        <v>155</v>
      </c>
      <c r="C219" s="987"/>
      <c r="D219" s="986"/>
      <c r="E219" s="987"/>
      <c r="F219" s="987"/>
      <c r="G219" s="987"/>
      <c r="H219" s="987"/>
      <c r="I219" s="987"/>
      <c r="J219" s="987"/>
      <c r="K219" s="987"/>
      <c r="L219" s="988"/>
      <c r="M219" s="988"/>
      <c r="N219" s="988"/>
      <c r="O219" s="988"/>
      <c r="P219" s="987"/>
      <c r="Q219" s="987"/>
      <c r="R219" s="987"/>
      <c r="S219" s="987"/>
      <c r="T219" s="987">
        <v>1</v>
      </c>
      <c r="U219" s="987"/>
      <c r="V219" s="987"/>
      <c r="W219" s="987"/>
      <c r="X219" s="987"/>
      <c r="Y219" s="987"/>
      <c r="Z219" s="987"/>
      <c r="AA219" s="987">
        <f t="shared" si="16"/>
        <v>1</v>
      </c>
      <c r="AB219" s="987" t="s">
        <v>53</v>
      </c>
      <c r="AC219" s="987" t="s">
        <v>69</v>
      </c>
      <c r="AD219" s="1036" t="s">
        <v>32</v>
      </c>
      <c r="AE219" s="987">
        <v>2.5000000000000001E-2</v>
      </c>
      <c r="AF219" s="989">
        <f t="shared" si="17"/>
        <v>296770.5</v>
      </c>
    </row>
    <row r="220" spans="1:32" s="287" customFormat="1" ht="51">
      <c r="A220" s="1036" t="s">
        <v>34</v>
      </c>
      <c r="B220" s="986" t="s">
        <v>715</v>
      </c>
      <c r="C220" s="987"/>
      <c r="D220" s="986"/>
      <c r="E220" s="987"/>
      <c r="F220" s="987"/>
      <c r="G220" s="987"/>
      <c r="H220" s="987"/>
      <c r="I220" s="987"/>
      <c r="J220" s="987"/>
      <c r="K220" s="987"/>
      <c r="L220" s="988"/>
      <c r="M220" s="988"/>
      <c r="N220" s="988"/>
      <c r="O220" s="988"/>
      <c r="P220" s="987"/>
      <c r="Q220" s="987"/>
      <c r="R220" s="987"/>
      <c r="S220" s="987"/>
      <c r="T220" s="987">
        <v>1</v>
      </c>
      <c r="U220" s="987"/>
      <c r="V220" s="987"/>
      <c r="W220" s="987"/>
      <c r="X220" s="987"/>
      <c r="Y220" s="987"/>
      <c r="Z220" s="987"/>
      <c r="AA220" s="987">
        <f t="shared" si="16"/>
        <v>1</v>
      </c>
      <c r="AB220" s="987" t="s">
        <v>53</v>
      </c>
      <c r="AC220" s="987" t="s">
        <v>69</v>
      </c>
      <c r="AD220" s="1036" t="s">
        <v>32</v>
      </c>
      <c r="AE220" s="987">
        <v>0.05</v>
      </c>
      <c r="AF220" s="989">
        <f t="shared" si="17"/>
        <v>296770.5</v>
      </c>
    </row>
    <row r="221" spans="1:32" s="287" customFormat="1" ht="25.5">
      <c r="A221" s="1036" t="s">
        <v>35</v>
      </c>
      <c r="B221" s="986" t="s">
        <v>157</v>
      </c>
      <c r="C221" s="987"/>
      <c r="D221" s="986"/>
      <c r="E221" s="987"/>
      <c r="F221" s="987"/>
      <c r="G221" s="987"/>
      <c r="H221" s="987"/>
      <c r="I221" s="987"/>
      <c r="J221" s="987"/>
      <c r="K221" s="987"/>
      <c r="L221" s="988"/>
      <c r="M221" s="988"/>
      <c r="N221" s="988"/>
      <c r="O221" s="988"/>
      <c r="P221" s="987"/>
      <c r="Q221" s="987"/>
      <c r="R221" s="987"/>
      <c r="S221" s="987"/>
      <c r="T221" s="987"/>
      <c r="U221" s="987">
        <v>1</v>
      </c>
      <c r="V221" s="987"/>
      <c r="W221" s="987"/>
      <c r="X221" s="987"/>
      <c r="Y221" s="987"/>
      <c r="Z221" s="987"/>
      <c r="AA221" s="987">
        <f t="shared" si="16"/>
        <v>1</v>
      </c>
      <c r="AB221" s="987" t="s">
        <v>1</v>
      </c>
      <c r="AC221" s="987" t="s">
        <v>106</v>
      </c>
      <c r="AD221" s="1036" t="s">
        <v>32</v>
      </c>
      <c r="AE221" s="987">
        <v>0.107</v>
      </c>
      <c r="AF221" s="989">
        <f t="shared" si="17"/>
        <v>333450</v>
      </c>
    </row>
    <row r="222" spans="1:32" s="287" customFormat="1" ht="25.5">
      <c r="A222" s="1036" t="s">
        <v>158</v>
      </c>
      <c r="B222" s="986" t="s">
        <v>189</v>
      </c>
      <c r="C222" s="987"/>
      <c r="D222" s="986"/>
      <c r="E222" s="987"/>
      <c r="F222" s="987"/>
      <c r="G222" s="987"/>
      <c r="H222" s="987"/>
      <c r="I222" s="987"/>
      <c r="J222" s="987"/>
      <c r="K222" s="987"/>
      <c r="L222" s="988"/>
      <c r="M222" s="988"/>
      <c r="N222" s="988"/>
      <c r="O222" s="988"/>
      <c r="P222" s="987"/>
      <c r="Q222" s="987"/>
      <c r="R222" s="987"/>
      <c r="S222" s="987"/>
      <c r="T222" s="987"/>
      <c r="U222" s="987"/>
      <c r="V222" s="987"/>
      <c r="W222" s="987"/>
      <c r="X222" s="987"/>
      <c r="Y222" s="987"/>
      <c r="Z222" s="987"/>
      <c r="AA222" s="987">
        <f t="shared" si="16"/>
        <v>0</v>
      </c>
      <c r="AB222" s="987"/>
      <c r="AC222" s="987"/>
      <c r="AD222" s="1036"/>
      <c r="AE222" s="987"/>
      <c r="AF222" s="989">
        <f t="shared" si="17"/>
        <v>0</v>
      </c>
    </row>
    <row r="223" spans="1:32" s="287" customFormat="1">
      <c r="A223" s="1036" t="s">
        <v>217</v>
      </c>
      <c r="B223" s="986" t="s">
        <v>190</v>
      </c>
      <c r="C223" s="987"/>
      <c r="D223" s="986"/>
      <c r="E223" s="987"/>
      <c r="F223" s="987"/>
      <c r="G223" s="987"/>
      <c r="H223" s="987"/>
      <c r="I223" s="987"/>
      <c r="J223" s="987"/>
      <c r="K223" s="987"/>
      <c r="L223" s="988"/>
      <c r="M223" s="988"/>
      <c r="N223" s="988"/>
      <c r="O223" s="988"/>
      <c r="P223" s="987"/>
      <c r="Q223" s="987"/>
      <c r="R223" s="987"/>
      <c r="S223" s="987">
        <v>1</v>
      </c>
      <c r="T223" s="987"/>
      <c r="U223" s="987"/>
      <c r="V223" s="987"/>
      <c r="W223" s="987"/>
      <c r="X223" s="987"/>
      <c r="Y223" s="987"/>
      <c r="Z223" s="987"/>
      <c r="AA223" s="987">
        <f t="shared" si="16"/>
        <v>1</v>
      </c>
      <c r="AB223" s="987" t="s">
        <v>551</v>
      </c>
      <c r="AC223" s="987" t="s">
        <v>68</v>
      </c>
      <c r="AD223" s="1036" t="s">
        <v>32</v>
      </c>
      <c r="AE223" s="987">
        <v>1.6E-2</v>
      </c>
      <c r="AF223" s="989">
        <f t="shared" si="17"/>
        <v>260091</v>
      </c>
    </row>
    <row r="224" spans="1:32" s="287" customFormat="1">
      <c r="A224" s="1036" t="s">
        <v>218</v>
      </c>
      <c r="B224" s="986" t="s">
        <v>191</v>
      </c>
      <c r="C224" s="987"/>
      <c r="D224" s="986"/>
      <c r="E224" s="987"/>
      <c r="F224" s="987"/>
      <c r="G224" s="987"/>
      <c r="H224" s="987"/>
      <c r="I224" s="987"/>
      <c r="J224" s="987"/>
      <c r="K224" s="987"/>
      <c r="L224" s="988"/>
      <c r="M224" s="988"/>
      <c r="N224" s="988"/>
      <c r="O224" s="988"/>
      <c r="P224" s="987"/>
      <c r="Q224" s="987"/>
      <c r="R224" s="987"/>
      <c r="S224" s="987">
        <v>1</v>
      </c>
      <c r="T224" s="987"/>
      <c r="U224" s="987"/>
      <c r="V224" s="987"/>
      <c r="W224" s="987"/>
      <c r="X224" s="987"/>
      <c r="Y224" s="987"/>
      <c r="Z224" s="987"/>
      <c r="AA224" s="987">
        <f t="shared" si="16"/>
        <v>1</v>
      </c>
      <c r="AB224" s="987" t="s">
        <v>551</v>
      </c>
      <c r="AC224" s="987" t="s">
        <v>68</v>
      </c>
      <c r="AD224" s="1036" t="s">
        <v>32</v>
      </c>
      <c r="AE224" s="987">
        <v>8.0000000000000002E-3</v>
      </c>
      <c r="AF224" s="989">
        <f t="shared" si="17"/>
        <v>260091</v>
      </c>
    </row>
    <row r="225" spans="1:32" s="638" customFormat="1" ht="38.25">
      <c r="A225" s="1036" t="s">
        <v>159</v>
      </c>
      <c r="B225" s="986" t="s">
        <v>192</v>
      </c>
      <c r="C225" s="987"/>
      <c r="D225" s="986"/>
      <c r="E225" s="987"/>
      <c r="F225" s="987"/>
      <c r="G225" s="987"/>
      <c r="H225" s="987"/>
      <c r="I225" s="987"/>
      <c r="J225" s="987"/>
      <c r="K225" s="987"/>
      <c r="L225" s="988"/>
      <c r="M225" s="988"/>
      <c r="N225" s="988"/>
      <c r="O225" s="988"/>
      <c r="P225" s="987"/>
      <c r="Q225" s="987"/>
      <c r="R225" s="987"/>
      <c r="S225" s="987">
        <v>1</v>
      </c>
      <c r="T225" s="987"/>
      <c r="U225" s="987"/>
      <c r="V225" s="987"/>
      <c r="W225" s="987"/>
      <c r="X225" s="987"/>
      <c r="Y225" s="987"/>
      <c r="Z225" s="987"/>
      <c r="AA225" s="987">
        <f t="shared" si="16"/>
        <v>1</v>
      </c>
      <c r="AB225" s="987" t="s">
        <v>551</v>
      </c>
      <c r="AC225" s="987" t="s">
        <v>68</v>
      </c>
      <c r="AD225" s="1036" t="s">
        <v>32</v>
      </c>
      <c r="AE225" s="987">
        <v>4.0000000000000001E-3</v>
      </c>
      <c r="AF225" s="989">
        <f t="shared" si="17"/>
        <v>260091</v>
      </c>
    </row>
    <row r="226" spans="1:32" s="638" customFormat="1" ht="15">
      <c r="A226" s="1036">
        <v>6</v>
      </c>
      <c r="B226" s="986" t="s">
        <v>591</v>
      </c>
      <c r="C226" s="987"/>
      <c r="D226" s="986"/>
      <c r="E226" s="987"/>
      <c r="F226" s="987"/>
      <c r="G226" s="987"/>
      <c r="H226" s="987"/>
      <c r="I226" s="987"/>
      <c r="J226" s="987"/>
      <c r="K226" s="987"/>
      <c r="L226" s="988"/>
      <c r="M226" s="988"/>
      <c r="N226" s="988"/>
      <c r="O226" s="988"/>
      <c r="P226" s="987"/>
      <c r="Q226" s="987"/>
      <c r="R226" s="987"/>
      <c r="S226" s="987"/>
      <c r="T226" s="987"/>
      <c r="U226" s="987"/>
      <c r="V226" s="987"/>
      <c r="W226" s="987"/>
      <c r="X226" s="987"/>
      <c r="Y226" s="987"/>
      <c r="Z226" s="987"/>
      <c r="AA226" s="987">
        <f t="shared" si="16"/>
        <v>0</v>
      </c>
      <c r="AB226" s="987"/>
      <c r="AC226" s="987"/>
      <c r="AD226" s="1036"/>
      <c r="AE226" s="987"/>
      <c r="AF226" s="989"/>
    </row>
    <row r="227" spans="1:32" s="646" customFormat="1" ht="15">
      <c r="A227" s="1036">
        <v>6.1</v>
      </c>
      <c r="B227" s="986" t="s">
        <v>153</v>
      </c>
      <c r="C227" s="987"/>
      <c r="D227" s="986"/>
      <c r="E227" s="987"/>
      <c r="F227" s="987"/>
      <c r="G227" s="987"/>
      <c r="H227" s="987"/>
      <c r="I227" s="987"/>
      <c r="J227" s="987"/>
      <c r="K227" s="987"/>
      <c r="L227" s="988"/>
      <c r="M227" s="988"/>
      <c r="N227" s="988"/>
      <c r="O227" s="988"/>
      <c r="P227" s="987"/>
      <c r="Q227" s="987"/>
      <c r="R227" s="987"/>
      <c r="S227" s="987"/>
      <c r="T227" s="987"/>
      <c r="U227" s="987">
        <v>1</v>
      </c>
      <c r="V227" s="987"/>
      <c r="W227" s="987"/>
      <c r="X227" s="987"/>
      <c r="Y227" s="987"/>
      <c r="Z227" s="987"/>
      <c r="AA227" s="987">
        <f t="shared" si="16"/>
        <v>1</v>
      </c>
      <c r="AB227" s="987" t="s">
        <v>53</v>
      </c>
      <c r="AC227" s="1305" t="s">
        <v>69</v>
      </c>
      <c r="AD227" s="1036" t="s">
        <v>32</v>
      </c>
      <c r="AE227" s="987">
        <v>5.0000000000000001E-3</v>
      </c>
      <c r="AF227" s="989">
        <f t="shared" si="17"/>
        <v>333450</v>
      </c>
    </row>
    <row r="228" spans="1:32" s="646" customFormat="1" ht="15">
      <c r="A228" s="1044">
        <v>6.2</v>
      </c>
      <c r="B228" s="1045" t="s">
        <v>155</v>
      </c>
      <c r="C228" s="1046"/>
      <c r="D228" s="1045"/>
      <c r="E228" s="1046"/>
      <c r="F228" s="1046"/>
      <c r="G228" s="1046"/>
      <c r="H228" s="1046"/>
      <c r="I228" s="1046"/>
      <c r="J228" s="1046"/>
      <c r="K228" s="1046"/>
      <c r="L228" s="1047"/>
      <c r="M228" s="1047"/>
      <c r="N228" s="1047"/>
      <c r="O228" s="1047"/>
      <c r="P228" s="1046"/>
      <c r="Q228" s="1046"/>
      <c r="R228" s="1046"/>
      <c r="S228" s="1046"/>
      <c r="T228" s="1046"/>
      <c r="U228" s="1046">
        <v>1</v>
      </c>
      <c r="V228" s="1046"/>
      <c r="W228" s="1046"/>
      <c r="X228" s="1046"/>
      <c r="Y228" s="1046"/>
      <c r="Z228" s="1046"/>
      <c r="AA228" s="1046">
        <f t="shared" si="16"/>
        <v>1</v>
      </c>
      <c r="AB228" s="1046" t="s">
        <v>53</v>
      </c>
      <c r="AC228" s="1305" t="s">
        <v>69</v>
      </c>
      <c r="AD228" s="1044" t="s">
        <v>32</v>
      </c>
      <c r="AE228" s="1046">
        <v>4.0000000000000001E-3</v>
      </c>
      <c r="AF228" s="1050">
        <f t="shared" si="17"/>
        <v>333450</v>
      </c>
    </row>
    <row r="229" spans="1:32" s="287" customFormat="1" ht="26.25" customHeight="1">
      <c r="A229" s="1044" t="s">
        <v>161</v>
      </c>
      <c r="B229" s="1045" t="s">
        <v>673</v>
      </c>
      <c r="C229" s="1046"/>
      <c r="D229" s="1045"/>
      <c r="E229" s="1046"/>
      <c r="F229" s="1046"/>
      <c r="G229" s="1046"/>
      <c r="H229" s="1046"/>
      <c r="I229" s="1046"/>
      <c r="J229" s="1046"/>
      <c r="K229" s="1046"/>
      <c r="L229" s="1047"/>
      <c r="M229" s="1047"/>
      <c r="N229" s="1047"/>
      <c r="O229" s="1047"/>
      <c r="P229" s="1046"/>
      <c r="Q229" s="1046"/>
      <c r="R229" s="1046"/>
      <c r="S229" s="1046"/>
      <c r="T229" s="1046"/>
      <c r="U229" s="1046">
        <v>1</v>
      </c>
      <c r="V229" s="1046"/>
      <c r="W229" s="1046"/>
      <c r="X229" s="1046"/>
      <c r="Y229" s="1046"/>
      <c r="Z229" s="1046"/>
      <c r="AA229" s="1046">
        <f t="shared" si="16"/>
        <v>1</v>
      </c>
      <c r="AB229" s="1046" t="s">
        <v>53</v>
      </c>
      <c r="AC229" s="1046" t="s">
        <v>106</v>
      </c>
      <c r="AD229" s="1044" t="s">
        <v>32</v>
      </c>
      <c r="AE229" s="1046">
        <v>0.1</v>
      </c>
      <c r="AF229" s="1050">
        <f t="shared" si="17"/>
        <v>333450</v>
      </c>
    </row>
    <row r="230" spans="1:32" s="287" customFormat="1" ht="63.75">
      <c r="A230" s="1046">
        <v>8</v>
      </c>
      <c r="B230" s="1045" t="s">
        <v>588</v>
      </c>
      <c r="C230" s="1046"/>
      <c r="D230" s="1045"/>
      <c r="E230" s="1046"/>
      <c r="F230" s="1046"/>
      <c r="G230" s="1046"/>
      <c r="H230" s="1046"/>
      <c r="I230" s="1046"/>
      <c r="J230" s="1046"/>
      <c r="K230" s="1046"/>
      <c r="L230" s="1047"/>
      <c r="M230" s="1047"/>
      <c r="N230" s="1047"/>
      <c r="O230" s="1047"/>
      <c r="P230" s="1046"/>
      <c r="Q230" s="1046"/>
      <c r="R230" s="1046"/>
      <c r="S230" s="1046"/>
      <c r="T230" s="1046"/>
      <c r="U230" s="1046">
        <v>1</v>
      </c>
      <c r="V230" s="1046"/>
      <c r="W230" s="1046"/>
      <c r="X230" s="1046"/>
      <c r="Y230" s="1046"/>
      <c r="Z230" s="1046"/>
      <c r="AA230" s="1046">
        <f t="shared" si="16"/>
        <v>1</v>
      </c>
      <c r="AB230" s="1046" t="s">
        <v>53</v>
      </c>
      <c r="AC230" s="1046" t="s">
        <v>106</v>
      </c>
      <c r="AD230" s="1044" t="s">
        <v>32</v>
      </c>
      <c r="AE230" s="1046">
        <v>0.1</v>
      </c>
      <c r="AF230" s="1050">
        <f t="shared" ref="AF230:AF259" si="18">(C230*C$6+D230*D$6+E230*E$6+F230*F$6+G230*G$6+H230*H$6+I230*I$6+J230*J$6+K230*K$6+L230*L$6+M230*M$6+N230*N$6+O230*O$6+P230*P$6+Q230*Q$6+R230*R$6+S230*S$6+T230*T$6+U230*U$6+V230*V$6+W230*W$6+X230*X$6+Y230*Y$6+Z230*Z$6)</f>
        <v>333450</v>
      </c>
    </row>
    <row r="231" spans="1:32" s="287" customFormat="1" ht="63.75">
      <c r="A231" s="1046">
        <v>9</v>
      </c>
      <c r="B231" s="1045" t="s">
        <v>589</v>
      </c>
      <c r="C231" s="1046"/>
      <c r="D231" s="1045"/>
      <c r="E231" s="1046"/>
      <c r="F231" s="1046"/>
      <c r="G231" s="1046"/>
      <c r="H231" s="1046"/>
      <c r="I231" s="1046"/>
      <c r="J231" s="1046">
        <v>1</v>
      </c>
      <c r="K231" s="1046"/>
      <c r="L231" s="1047"/>
      <c r="M231" s="1047"/>
      <c r="N231" s="1047"/>
      <c r="O231" s="1047"/>
      <c r="P231" s="1046"/>
      <c r="Q231" s="1046"/>
      <c r="R231" s="1046"/>
      <c r="S231" s="1046"/>
      <c r="T231" s="1046">
        <v>1</v>
      </c>
      <c r="U231" s="1046"/>
      <c r="V231" s="1046"/>
      <c r="W231" s="1046"/>
      <c r="X231" s="1046"/>
      <c r="Y231" s="1046"/>
      <c r="Z231" s="1046"/>
      <c r="AA231" s="1046">
        <f t="shared" si="16"/>
        <v>2</v>
      </c>
      <c r="AB231" s="1046" t="s">
        <v>53</v>
      </c>
      <c r="AC231" s="1046" t="s">
        <v>590</v>
      </c>
      <c r="AD231" s="1044" t="s">
        <v>32</v>
      </c>
      <c r="AE231" s="1046">
        <v>0.5</v>
      </c>
      <c r="AF231" s="1050">
        <f t="shared" si="18"/>
        <v>570199.5</v>
      </c>
    </row>
    <row r="232" spans="1:32" s="638" customFormat="1" ht="38.25">
      <c r="A232" s="1044" t="s">
        <v>37</v>
      </c>
      <c r="B232" s="1359" t="s">
        <v>958</v>
      </c>
      <c r="C232" s="1046"/>
      <c r="D232" s="1045"/>
      <c r="E232" s="1046"/>
      <c r="F232" s="1046"/>
      <c r="G232" s="1046"/>
      <c r="H232" s="1046"/>
      <c r="I232" s="1046"/>
      <c r="J232" s="1046"/>
      <c r="K232" s="1046"/>
      <c r="L232" s="1047"/>
      <c r="M232" s="1047"/>
      <c r="N232" s="1047"/>
      <c r="O232" s="1047"/>
      <c r="P232" s="1046"/>
      <c r="Q232" s="1046"/>
      <c r="R232" s="1046"/>
      <c r="S232" s="1046"/>
      <c r="T232" s="1046"/>
      <c r="U232" s="1046"/>
      <c r="V232" s="1046"/>
      <c r="W232" s="1046"/>
      <c r="X232" s="1046"/>
      <c r="Y232" s="1046"/>
      <c r="Z232" s="1046"/>
      <c r="AA232" s="1046">
        <f t="shared" si="16"/>
        <v>0</v>
      </c>
      <c r="AB232" s="1046"/>
      <c r="AC232" s="1046"/>
      <c r="AD232" s="1044"/>
      <c r="AE232" s="1046"/>
      <c r="AF232" s="1050"/>
    </row>
    <row r="233" spans="1:32" s="646" customFormat="1" ht="15">
      <c r="A233" s="1297" t="s">
        <v>180</v>
      </c>
      <c r="B233" s="1295" t="s">
        <v>168</v>
      </c>
      <c r="C233" s="1046"/>
      <c r="D233" s="1045"/>
      <c r="E233" s="1046"/>
      <c r="F233" s="1046"/>
      <c r="G233" s="1046"/>
      <c r="H233" s="1046"/>
      <c r="I233" s="1046"/>
      <c r="J233" s="1046"/>
      <c r="K233" s="1046"/>
      <c r="L233" s="1047"/>
      <c r="M233" s="1047"/>
      <c r="N233" s="1047"/>
      <c r="O233" s="1047"/>
      <c r="P233" s="1046"/>
      <c r="Q233" s="1046"/>
      <c r="R233" s="1046"/>
      <c r="S233" s="1046"/>
      <c r="T233" s="1046">
        <v>1</v>
      </c>
      <c r="U233" s="1046"/>
      <c r="V233" s="1046"/>
      <c r="W233" s="1046"/>
      <c r="X233" s="1046"/>
      <c r="Y233" s="1046"/>
      <c r="Z233" s="1046"/>
      <c r="AA233" s="1046">
        <f t="shared" si="16"/>
        <v>1</v>
      </c>
      <c r="AB233" s="1046" t="s">
        <v>53</v>
      </c>
      <c r="AC233" s="1046" t="s">
        <v>69</v>
      </c>
      <c r="AD233" s="1044" t="s">
        <v>32</v>
      </c>
      <c r="AE233" s="1046">
        <v>2.5000000000000001E-2</v>
      </c>
      <c r="AF233" s="1050">
        <f t="shared" si="18"/>
        <v>296770.5</v>
      </c>
    </row>
    <row r="234" spans="1:32" s="646" customFormat="1" ht="15">
      <c r="A234" s="1297" t="s">
        <v>109</v>
      </c>
      <c r="B234" s="1295" t="s">
        <v>169</v>
      </c>
      <c r="C234" s="1046"/>
      <c r="D234" s="1045"/>
      <c r="E234" s="1046"/>
      <c r="F234" s="1046"/>
      <c r="G234" s="1046"/>
      <c r="H234" s="1046"/>
      <c r="I234" s="1046"/>
      <c r="J234" s="1046"/>
      <c r="K234" s="1046"/>
      <c r="L234" s="1047"/>
      <c r="M234" s="1047"/>
      <c r="N234" s="1047"/>
      <c r="O234" s="1047"/>
      <c r="P234" s="1046"/>
      <c r="Q234" s="1046"/>
      <c r="R234" s="1046"/>
      <c r="S234" s="1046"/>
      <c r="T234" s="1046">
        <v>1</v>
      </c>
      <c r="U234" s="1046"/>
      <c r="V234" s="1046"/>
      <c r="W234" s="1046"/>
      <c r="X234" s="1046"/>
      <c r="Y234" s="1046"/>
      <c r="Z234" s="1046"/>
      <c r="AA234" s="1046">
        <f t="shared" si="16"/>
        <v>1</v>
      </c>
      <c r="AB234" s="1046" t="s">
        <v>53</v>
      </c>
      <c r="AC234" s="1046" t="s">
        <v>69</v>
      </c>
      <c r="AD234" s="1044" t="s">
        <v>32</v>
      </c>
      <c r="AE234" s="1046">
        <v>0.05</v>
      </c>
      <c r="AF234" s="1050">
        <f t="shared" si="18"/>
        <v>296770.5</v>
      </c>
    </row>
    <row r="235" spans="1:32" s="287" customFormat="1" ht="25.5">
      <c r="A235" s="1044" t="s">
        <v>38</v>
      </c>
      <c r="B235" s="1045" t="s">
        <v>593</v>
      </c>
      <c r="C235" s="1046"/>
      <c r="D235" s="1045"/>
      <c r="E235" s="1046"/>
      <c r="F235" s="1046"/>
      <c r="G235" s="1046"/>
      <c r="H235" s="1046"/>
      <c r="I235" s="1046"/>
      <c r="J235" s="1046"/>
      <c r="K235" s="1046"/>
      <c r="L235" s="1047"/>
      <c r="M235" s="1047"/>
      <c r="N235" s="1047"/>
      <c r="O235" s="1047"/>
      <c r="P235" s="1046"/>
      <c r="Q235" s="1046"/>
      <c r="R235" s="1046"/>
      <c r="S235" s="1046"/>
      <c r="T235" s="1046"/>
      <c r="U235" s="1046"/>
      <c r="V235" s="1046"/>
      <c r="W235" s="1046"/>
      <c r="X235" s="1046"/>
      <c r="Y235" s="1046"/>
      <c r="Z235" s="1046"/>
      <c r="AA235" s="1046">
        <f t="shared" si="16"/>
        <v>0</v>
      </c>
      <c r="AB235" s="1046"/>
      <c r="AC235" s="1046"/>
      <c r="AD235" s="1046"/>
      <c r="AE235" s="1046"/>
      <c r="AF235" s="1050">
        <f t="shared" si="18"/>
        <v>0</v>
      </c>
    </row>
    <row r="236" spans="1:32" s="285" customFormat="1" ht="17.25" customHeight="1">
      <c r="A236" s="1044" t="s">
        <v>206</v>
      </c>
      <c r="B236" s="1295" t="s">
        <v>171</v>
      </c>
      <c r="C236" s="1046"/>
      <c r="D236" s="1045"/>
      <c r="E236" s="1046"/>
      <c r="F236" s="1046"/>
      <c r="G236" s="1046"/>
      <c r="H236" s="1046"/>
      <c r="I236" s="1046"/>
      <c r="J236" s="1046"/>
      <c r="K236" s="1046"/>
      <c r="L236" s="1047"/>
      <c r="M236" s="1047"/>
      <c r="N236" s="1047"/>
      <c r="O236" s="1047"/>
      <c r="P236" s="1046"/>
      <c r="Q236" s="1046"/>
      <c r="R236" s="1046"/>
      <c r="S236" s="1046"/>
      <c r="T236" s="1046"/>
      <c r="U236" s="1046">
        <v>1</v>
      </c>
      <c r="V236" s="1046"/>
      <c r="W236" s="1046"/>
      <c r="X236" s="1046"/>
      <c r="Y236" s="1046"/>
      <c r="Z236" s="1046"/>
      <c r="AA236" s="1046">
        <f t="shared" si="16"/>
        <v>1</v>
      </c>
      <c r="AB236" s="1046" t="s">
        <v>53</v>
      </c>
      <c r="AC236" s="1046" t="s">
        <v>106</v>
      </c>
      <c r="AD236" s="1044" t="s">
        <v>32</v>
      </c>
      <c r="AE236" s="1046">
        <v>0.03</v>
      </c>
      <c r="AF236" s="1050">
        <f t="shared" si="18"/>
        <v>333450</v>
      </c>
    </row>
    <row r="237" spans="1:32" s="285" customFormat="1" ht="17.25" customHeight="1">
      <c r="A237" s="1044" t="s">
        <v>207</v>
      </c>
      <c r="B237" s="1295" t="s">
        <v>173</v>
      </c>
      <c r="C237" s="1046"/>
      <c r="D237" s="1045"/>
      <c r="E237" s="1046"/>
      <c r="F237" s="1046"/>
      <c r="G237" s="1046"/>
      <c r="H237" s="1046"/>
      <c r="I237" s="1046"/>
      <c r="J237" s="1046"/>
      <c r="K237" s="1046"/>
      <c r="L237" s="1047"/>
      <c r="M237" s="1047"/>
      <c r="N237" s="1047"/>
      <c r="O237" s="1047"/>
      <c r="P237" s="1046"/>
      <c r="Q237" s="1046"/>
      <c r="R237" s="1046"/>
      <c r="S237" s="1046"/>
      <c r="T237" s="1046"/>
      <c r="U237" s="1046">
        <v>1</v>
      </c>
      <c r="V237" s="1046"/>
      <c r="W237" s="1046"/>
      <c r="X237" s="1046"/>
      <c r="Y237" s="1046"/>
      <c r="Z237" s="1046"/>
      <c r="AA237" s="1046">
        <f t="shared" si="16"/>
        <v>1</v>
      </c>
      <c r="AB237" s="1046" t="s">
        <v>53</v>
      </c>
      <c r="AC237" s="1046" t="s">
        <v>106</v>
      </c>
      <c r="AD237" s="1044" t="s">
        <v>32</v>
      </c>
      <c r="AE237" s="1046">
        <v>0.04</v>
      </c>
      <c r="AF237" s="1050">
        <f t="shared" si="18"/>
        <v>333450</v>
      </c>
    </row>
    <row r="238" spans="1:32" s="638" customFormat="1" ht="25.5">
      <c r="A238" s="1044" t="s">
        <v>184</v>
      </c>
      <c r="B238" s="1045" t="s">
        <v>596</v>
      </c>
      <c r="C238" s="1046"/>
      <c r="D238" s="1045"/>
      <c r="E238" s="1046"/>
      <c r="F238" s="1046"/>
      <c r="G238" s="1046"/>
      <c r="H238" s="1046"/>
      <c r="I238" s="1046"/>
      <c r="J238" s="1046"/>
      <c r="K238" s="1046"/>
      <c r="L238" s="1047"/>
      <c r="M238" s="1047"/>
      <c r="N238" s="1047"/>
      <c r="O238" s="1047"/>
      <c r="P238" s="1046"/>
      <c r="Q238" s="1046"/>
      <c r="R238" s="1046"/>
      <c r="S238" s="1046"/>
      <c r="T238" s="1046"/>
      <c r="U238" s="1046"/>
      <c r="V238" s="1046"/>
      <c r="W238" s="1046"/>
      <c r="X238" s="1046"/>
      <c r="Y238" s="1046"/>
      <c r="Z238" s="1046"/>
      <c r="AA238" s="1046">
        <f t="shared" si="16"/>
        <v>0</v>
      </c>
      <c r="AB238" s="1046"/>
      <c r="AC238" s="1046"/>
      <c r="AD238" s="1046"/>
      <c r="AE238" s="1046"/>
      <c r="AF238" s="1050">
        <f t="shared" si="18"/>
        <v>0</v>
      </c>
    </row>
    <row r="239" spans="1:32" s="646" customFormat="1" ht="25.5">
      <c r="A239" s="1044" t="s">
        <v>224</v>
      </c>
      <c r="B239" s="1295" t="s">
        <v>175</v>
      </c>
      <c r="C239" s="1046"/>
      <c r="D239" s="1045"/>
      <c r="E239" s="1046"/>
      <c r="F239" s="1046"/>
      <c r="G239" s="1046"/>
      <c r="H239" s="1046"/>
      <c r="I239" s="1046"/>
      <c r="J239" s="1046"/>
      <c r="K239" s="1046"/>
      <c r="L239" s="1047"/>
      <c r="M239" s="1047"/>
      <c r="N239" s="1047"/>
      <c r="O239" s="1047"/>
      <c r="P239" s="1046"/>
      <c r="Q239" s="1046"/>
      <c r="R239" s="1046"/>
      <c r="S239" s="1046"/>
      <c r="T239" s="1046">
        <v>1</v>
      </c>
      <c r="U239" s="1046"/>
      <c r="V239" s="1046"/>
      <c r="W239" s="1046"/>
      <c r="X239" s="1046"/>
      <c r="Y239" s="1046"/>
      <c r="Z239" s="1046"/>
      <c r="AA239" s="1046">
        <f t="shared" si="16"/>
        <v>1</v>
      </c>
      <c r="AB239" s="1046" t="s">
        <v>53</v>
      </c>
      <c r="AC239" s="1046" t="s">
        <v>69</v>
      </c>
      <c r="AD239" s="1044" t="s">
        <v>32</v>
      </c>
      <c r="AE239" s="1046">
        <v>0.04</v>
      </c>
      <c r="AF239" s="1050">
        <f t="shared" si="18"/>
        <v>296770.5</v>
      </c>
    </row>
    <row r="240" spans="1:32" s="646" customFormat="1" ht="25.5">
      <c r="A240" s="1044" t="s">
        <v>225</v>
      </c>
      <c r="B240" s="1295" t="s">
        <v>176</v>
      </c>
      <c r="C240" s="1046"/>
      <c r="D240" s="1045"/>
      <c r="E240" s="1046"/>
      <c r="F240" s="1046"/>
      <c r="G240" s="1046"/>
      <c r="H240" s="1046"/>
      <c r="I240" s="1046"/>
      <c r="J240" s="1046"/>
      <c r="K240" s="1046"/>
      <c r="L240" s="1047"/>
      <c r="M240" s="1047"/>
      <c r="N240" s="1047"/>
      <c r="O240" s="1047"/>
      <c r="P240" s="1046"/>
      <c r="Q240" s="1046"/>
      <c r="R240" s="1046"/>
      <c r="S240" s="1046"/>
      <c r="T240" s="1046">
        <v>1</v>
      </c>
      <c r="U240" s="1046"/>
      <c r="V240" s="1046"/>
      <c r="W240" s="1046"/>
      <c r="X240" s="1046"/>
      <c r="Y240" s="1046"/>
      <c r="Z240" s="1046"/>
      <c r="AA240" s="1046">
        <f t="shared" si="16"/>
        <v>1</v>
      </c>
      <c r="AB240" s="1046" t="s">
        <v>53</v>
      </c>
      <c r="AC240" s="1046" t="s">
        <v>69</v>
      </c>
      <c r="AD240" s="1044" t="s">
        <v>32</v>
      </c>
      <c r="AE240" s="1046">
        <v>0.03</v>
      </c>
      <c r="AF240" s="1050">
        <f t="shared" si="18"/>
        <v>296770.5</v>
      </c>
    </row>
    <row r="241" spans="1:32" s="638" customFormat="1" ht="25.5">
      <c r="A241" s="1044" t="s">
        <v>185</v>
      </c>
      <c r="B241" s="1045" t="s">
        <v>674</v>
      </c>
      <c r="C241" s="1046"/>
      <c r="D241" s="1045"/>
      <c r="E241" s="1046"/>
      <c r="F241" s="1046"/>
      <c r="G241" s="1046"/>
      <c r="H241" s="1046"/>
      <c r="I241" s="1046"/>
      <c r="J241" s="1046"/>
      <c r="K241" s="1046"/>
      <c r="L241" s="1047"/>
      <c r="M241" s="1047"/>
      <c r="N241" s="1047"/>
      <c r="O241" s="1047"/>
      <c r="P241" s="1046"/>
      <c r="Q241" s="1046"/>
      <c r="R241" s="1046"/>
      <c r="S241" s="1046"/>
      <c r="T241" s="1046"/>
      <c r="U241" s="1046">
        <v>1</v>
      </c>
      <c r="V241" s="1046"/>
      <c r="W241" s="1046"/>
      <c r="X241" s="1046"/>
      <c r="Y241" s="1046"/>
      <c r="Z241" s="1046"/>
      <c r="AA241" s="1046">
        <f t="shared" si="16"/>
        <v>1</v>
      </c>
      <c r="AB241" s="1046" t="s">
        <v>1</v>
      </c>
      <c r="AC241" s="1046" t="s">
        <v>106</v>
      </c>
      <c r="AD241" s="1044" t="s">
        <v>32</v>
      </c>
      <c r="AE241" s="1046">
        <v>3.3000000000000002E-2</v>
      </c>
      <c r="AF241" s="1050">
        <f t="shared" si="18"/>
        <v>333450</v>
      </c>
    </row>
    <row r="242" spans="1:32" s="638" customFormat="1" ht="15">
      <c r="A242" s="1044" t="s">
        <v>187</v>
      </c>
      <c r="B242" s="1045" t="s">
        <v>178</v>
      </c>
      <c r="C242" s="1046"/>
      <c r="D242" s="1045"/>
      <c r="E242" s="1046"/>
      <c r="F242" s="1046"/>
      <c r="G242" s="1046"/>
      <c r="H242" s="1046"/>
      <c r="I242" s="1046"/>
      <c r="J242" s="1046"/>
      <c r="K242" s="1046"/>
      <c r="L242" s="1047"/>
      <c r="M242" s="1047"/>
      <c r="N242" s="1047"/>
      <c r="O242" s="1047"/>
      <c r="P242" s="1046"/>
      <c r="Q242" s="1046"/>
      <c r="R242" s="1046"/>
      <c r="S242" s="1046"/>
      <c r="T242" s="1046"/>
      <c r="U242" s="1046">
        <v>1</v>
      </c>
      <c r="V242" s="1046"/>
      <c r="W242" s="1046"/>
      <c r="X242" s="1046"/>
      <c r="Y242" s="1046"/>
      <c r="Z242" s="1046"/>
      <c r="AA242" s="1046">
        <f t="shared" si="16"/>
        <v>1</v>
      </c>
      <c r="AB242" s="1046" t="s">
        <v>53</v>
      </c>
      <c r="AC242" s="1046" t="s">
        <v>106</v>
      </c>
      <c r="AD242" s="1044" t="s">
        <v>32</v>
      </c>
      <c r="AE242" s="1046">
        <v>0.2</v>
      </c>
      <c r="AF242" s="1050">
        <f t="shared" si="18"/>
        <v>333450</v>
      </c>
    </row>
    <row r="243" spans="1:32" s="638" customFormat="1" ht="15">
      <c r="A243" s="1044" t="s">
        <v>194</v>
      </c>
      <c r="B243" s="1045" t="s">
        <v>179</v>
      </c>
      <c r="C243" s="1046"/>
      <c r="D243" s="1045"/>
      <c r="E243" s="1046"/>
      <c r="F243" s="1046"/>
      <c r="G243" s="1046"/>
      <c r="H243" s="1046"/>
      <c r="I243" s="1046"/>
      <c r="J243" s="1046"/>
      <c r="K243" s="1046"/>
      <c r="L243" s="1047"/>
      <c r="M243" s="1047"/>
      <c r="N243" s="1047"/>
      <c r="O243" s="1047"/>
      <c r="P243" s="1046"/>
      <c r="Q243" s="1046"/>
      <c r="R243" s="1046"/>
      <c r="S243" s="1046"/>
      <c r="T243" s="1046"/>
      <c r="U243" s="1046"/>
      <c r="V243" s="1046"/>
      <c r="W243" s="1046"/>
      <c r="X243" s="1046"/>
      <c r="Y243" s="1046"/>
      <c r="Z243" s="1046"/>
      <c r="AA243" s="1046">
        <f t="shared" si="16"/>
        <v>0</v>
      </c>
      <c r="AB243" s="1046"/>
      <c r="AC243" s="1046"/>
      <c r="AD243" s="1046"/>
      <c r="AE243" s="1046"/>
      <c r="AF243" s="1050">
        <f t="shared" si="18"/>
        <v>0</v>
      </c>
    </row>
    <row r="244" spans="1:32" s="646" customFormat="1" ht="15">
      <c r="A244" s="1297" t="s">
        <v>208</v>
      </c>
      <c r="B244" s="1295" t="s">
        <v>181</v>
      </c>
      <c r="C244" s="1294"/>
      <c r="D244" s="1295"/>
      <c r="E244" s="1294"/>
      <c r="F244" s="1294"/>
      <c r="G244" s="1294"/>
      <c r="H244" s="1294"/>
      <c r="I244" s="1294"/>
      <c r="J244" s="1294"/>
      <c r="K244" s="1294"/>
      <c r="L244" s="1296"/>
      <c r="M244" s="1296"/>
      <c r="N244" s="1296"/>
      <c r="O244" s="1296"/>
      <c r="P244" s="1294"/>
      <c r="Q244" s="1294"/>
      <c r="R244" s="1294"/>
      <c r="S244" s="1294"/>
      <c r="T244" s="1294">
        <v>1</v>
      </c>
      <c r="U244" s="1294"/>
      <c r="V244" s="1294"/>
      <c r="W244" s="1294"/>
      <c r="X244" s="1294"/>
      <c r="Y244" s="1294"/>
      <c r="Z244" s="1294"/>
      <c r="AA244" s="1294">
        <f t="shared" si="16"/>
        <v>1</v>
      </c>
      <c r="AB244" s="1294" t="s">
        <v>145</v>
      </c>
      <c r="AC244" s="1294" t="s">
        <v>69</v>
      </c>
      <c r="AD244" s="1297" t="s">
        <v>32</v>
      </c>
      <c r="AE244" s="1294">
        <v>0.05</v>
      </c>
      <c r="AF244" s="1298">
        <f t="shared" si="18"/>
        <v>296770.5</v>
      </c>
    </row>
    <row r="245" spans="1:32" s="646" customFormat="1" ht="15">
      <c r="A245" s="1297" t="s">
        <v>209</v>
      </c>
      <c r="B245" s="1295" t="s">
        <v>182</v>
      </c>
      <c r="C245" s="1294"/>
      <c r="D245" s="1295"/>
      <c r="E245" s="1294"/>
      <c r="F245" s="1294"/>
      <c r="G245" s="1294"/>
      <c r="H245" s="1294"/>
      <c r="I245" s="1294"/>
      <c r="J245" s="1294"/>
      <c r="K245" s="1294"/>
      <c r="L245" s="1296"/>
      <c r="M245" s="1296"/>
      <c r="N245" s="1296"/>
      <c r="O245" s="1296"/>
      <c r="P245" s="1294"/>
      <c r="Q245" s="1294"/>
      <c r="R245" s="1294"/>
      <c r="S245" s="1294"/>
      <c r="T245" s="1294">
        <v>1</v>
      </c>
      <c r="U245" s="1294"/>
      <c r="V245" s="1294"/>
      <c r="W245" s="1294"/>
      <c r="X245" s="1294"/>
      <c r="Y245" s="1294"/>
      <c r="Z245" s="1294"/>
      <c r="AA245" s="1294">
        <f t="shared" si="16"/>
        <v>1</v>
      </c>
      <c r="AB245" s="1294" t="s">
        <v>145</v>
      </c>
      <c r="AC245" s="1294" t="s">
        <v>69</v>
      </c>
      <c r="AD245" s="1297" t="s">
        <v>32</v>
      </c>
      <c r="AE245" s="1294">
        <v>0.1</v>
      </c>
      <c r="AF245" s="1298">
        <f t="shared" si="18"/>
        <v>296770.5</v>
      </c>
    </row>
    <row r="246" spans="1:32" s="638" customFormat="1" ht="25.5">
      <c r="A246" s="1036" t="s">
        <v>195</v>
      </c>
      <c r="B246" s="986" t="s">
        <v>183</v>
      </c>
      <c r="C246" s="987"/>
      <c r="D246" s="986"/>
      <c r="E246" s="987"/>
      <c r="F246" s="987"/>
      <c r="G246" s="987"/>
      <c r="H246" s="987"/>
      <c r="I246" s="987"/>
      <c r="J246" s="987"/>
      <c r="K246" s="987"/>
      <c r="L246" s="988"/>
      <c r="M246" s="988"/>
      <c r="N246" s="988"/>
      <c r="O246" s="988"/>
      <c r="P246" s="987"/>
      <c r="Q246" s="987"/>
      <c r="R246" s="987"/>
      <c r="S246" s="987"/>
      <c r="T246" s="987">
        <v>1</v>
      </c>
      <c r="U246" s="987"/>
      <c r="V246" s="987"/>
      <c r="W246" s="987"/>
      <c r="X246" s="987"/>
      <c r="Y246" s="987"/>
      <c r="Z246" s="987"/>
      <c r="AA246" s="987">
        <f t="shared" si="16"/>
        <v>1</v>
      </c>
      <c r="AB246" s="987" t="s">
        <v>53</v>
      </c>
      <c r="AC246" s="987" t="s">
        <v>69</v>
      </c>
      <c r="AD246" s="1036" t="s">
        <v>32</v>
      </c>
      <c r="AE246" s="987">
        <v>0.04</v>
      </c>
      <c r="AF246" s="989">
        <f t="shared" si="18"/>
        <v>296770.5</v>
      </c>
    </row>
    <row r="247" spans="1:32" s="638" customFormat="1" ht="25.5">
      <c r="A247" s="1036" t="s">
        <v>210</v>
      </c>
      <c r="B247" s="986" t="s">
        <v>675</v>
      </c>
      <c r="C247" s="987"/>
      <c r="D247" s="986"/>
      <c r="E247" s="987"/>
      <c r="F247" s="987"/>
      <c r="G247" s="987"/>
      <c r="H247" s="987"/>
      <c r="I247" s="987"/>
      <c r="J247" s="987"/>
      <c r="K247" s="987"/>
      <c r="L247" s="988"/>
      <c r="M247" s="988"/>
      <c r="N247" s="988"/>
      <c r="O247" s="988"/>
      <c r="P247" s="987"/>
      <c r="Q247" s="987"/>
      <c r="R247" s="987"/>
      <c r="S247" s="987"/>
      <c r="T247" s="987"/>
      <c r="U247" s="987"/>
      <c r="V247" s="987"/>
      <c r="W247" s="987"/>
      <c r="X247" s="987"/>
      <c r="Y247" s="987"/>
      <c r="Z247" s="987"/>
      <c r="AA247" s="987">
        <f t="shared" si="16"/>
        <v>0</v>
      </c>
      <c r="AB247" s="987"/>
      <c r="AC247" s="987"/>
      <c r="AD247" s="1036"/>
      <c r="AE247" s="987"/>
      <c r="AF247" s="989"/>
    </row>
    <row r="248" spans="1:32" s="646" customFormat="1" ht="58.5" customHeight="1">
      <c r="A248" s="1041" t="s">
        <v>211</v>
      </c>
      <c r="B248" s="1039" t="s">
        <v>613</v>
      </c>
      <c r="C248" s="1038"/>
      <c r="D248" s="1039"/>
      <c r="E248" s="1038"/>
      <c r="F248" s="1038"/>
      <c r="G248" s="1038"/>
      <c r="H248" s="1038"/>
      <c r="I248" s="1038"/>
      <c r="J248" s="1038"/>
      <c r="K248" s="1038"/>
      <c r="L248" s="1040"/>
      <c r="M248" s="1040"/>
      <c r="N248" s="1040"/>
      <c r="O248" s="1040"/>
      <c r="P248" s="1038"/>
      <c r="Q248" s="1038"/>
      <c r="R248" s="1038"/>
      <c r="S248" s="1038"/>
      <c r="T248" s="1038">
        <v>1</v>
      </c>
      <c r="U248" s="1038"/>
      <c r="V248" s="1038"/>
      <c r="W248" s="1038"/>
      <c r="X248" s="1038"/>
      <c r="Y248" s="1038"/>
      <c r="Z248" s="1038"/>
      <c r="AA248" s="1038">
        <f t="shared" si="16"/>
        <v>1</v>
      </c>
      <c r="AB248" s="1038" t="s">
        <v>53</v>
      </c>
      <c r="AC248" s="1038" t="s">
        <v>69</v>
      </c>
      <c r="AD248" s="1041" t="s">
        <v>32</v>
      </c>
      <c r="AE248" s="1038">
        <v>0.05</v>
      </c>
      <c r="AF248" s="1043">
        <f t="shared" si="18"/>
        <v>296770.5</v>
      </c>
    </row>
    <row r="249" spans="1:32" s="646" customFormat="1" ht="38.25">
      <c r="A249" s="1041" t="s">
        <v>212</v>
      </c>
      <c r="B249" s="1039" t="s">
        <v>676</v>
      </c>
      <c r="C249" s="1038"/>
      <c r="D249" s="1039"/>
      <c r="E249" s="1038"/>
      <c r="F249" s="1038"/>
      <c r="G249" s="1038"/>
      <c r="H249" s="1038"/>
      <c r="I249" s="1038"/>
      <c r="J249" s="1038"/>
      <c r="K249" s="1038"/>
      <c r="L249" s="1040"/>
      <c r="M249" s="1040"/>
      <c r="N249" s="1040"/>
      <c r="O249" s="1040"/>
      <c r="P249" s="1038"/>
      <c r="Q249" s="1038"/>
      <c r="R249" s="1038"/>
      <c r="S249" s="1038"/>
      <c r="T249" s="1038">
        <v>1</v>
      </c>
      <c r="U249" s="1038"/>
      <c r="V249" s="1038"/>
      <c r="W249" s="1038"/>
      <c r="X249" s="1038"/>
      <c r="Y249" s="1038"/>
      <c r="Z249" s="1038"/>
      <c r="AA249" s="1038">
        <f t="shared" si="16"/>
        <v>1</v>
      </c>
      <c r="AB249" s="1038" t="s">
        <v>53</v>
      </c>
      <c r="AC249" s="1038" t="s">
        <v>69</v>
      </c>
      <c r="AD249" s="1041" t="s">
        <v>32</v>
      </c>
      <c r="AE249" s="1038">
        <v>0.05</v>
      </c>
      <c r="AF249" s="1043">
        <f t="shared" si="18"/>
        <v>296770.5</v>
      </c>
    </row>
    <row r="250" spans="1:32" s="638" customFormat="1" ht="25.5" customHeight="1">
      <c r="A250" s="1036" t="s">
        <v>296</v>
      </c>
      <c r="B250" s="986" t="s">
        <v>186</v>
      </c>
      <c r="C250" s="987"/>
      <c r="D250" s="986"/>
      <c r="E250" s="987"/>
      <c r="F250" s="987"/>
      <c r="G250" s="987"/>
      <c r="H250" s="987"/>
      <c r="I250" s="987"/>
      <c r="J250" s="987"/>
      <c r="K250" s="987"/>
      <c r="L250" s="988"/>
      <c r="M250" s="988"/>
      <c r="N250" s="988"/>
      <c r="O250" s="988"/>
      <c r="P250" s="987"/>
      <c r="Q250" s="987"/>
      <c r="R250" s="987"/>
      <c r="S250" s="987"/>
      <c r="T250" s="987"/>
      <c r="U250" s="987">
        <v>1</v>
      </c>
      <c r="V250" s="987"/>
      <c r="W250" s="987"/>
      <c r="X250" s="987"/>
      <c r="Y250" s="987"/>
      <c r="Z250" s="987"/>
      <c r="AA250" s="987">
        <f t="shared" si="16"/>
        <v>1</v>
      </c>
      <c r="AB250" s="987" t="s">
        <v>1</v>
      </c>
      <c r="AC250" s="987" t="s">
        <v>106</v>
      </c>
      <c r="AD250" s="1036" t="s">
        <v>32</v>
      </c>
      <c r="AE250" s="987">
        <v>3.3000000000000002E-2</v>
      </c>
      <c r="AF250" s="989">
        <f t="shared" si="18"/>
        <v>333450</v>
      </c>
    </row>
    <row r="251" spans="1:32" s="638" customFormat="1" ht="25.5">
      <c r="A251" s="1036" t="s">
        <v>298</v>
      </c>
      <c r="B251" s="986" t="s">
        <v>189</v>
      </c>
      <c r="C251" s="987"/>
      <c r="D251" s="986"/>
      <c r="E251" s="987"/>
      <c r="F251" s="987"/>
      <c r="G251" s="987"/>
      <c r="H251" s="987"/>
      <c r="I251" s="987"/>
      <c r="J251" s="987"/>
      <c r="K251" s="987"/>
      <c r="L251" s="988"/>
      <c r="M251" s="988"/>
      <c r="N251" s="988"/>
      <c r="O251" s="988"/>
      <c r="P251" s="987"/>
      <c r="Q251" s="987"/>
      <c r="R251" s="987"/>
      <c r="S251" s="987"/>
      <c r="T251" s="987"/>
      <c r="U251" s="987"/>
      <c r="V251" s="987"/>
      <c r="W251" s="987"/>
      <c r="X251" s="987"/>
      <c r="Y251" s="987"/>
      <c r="Z251" s="987"/>
      <c r="AA251" s="987">
        <f t="shared" si="16"/>
        <v>0</v>
      </c>
      <c r="AB251" s="987"/>
      <c r="AC251" s="987"/>
      <c r="AD251" s="1036"/>
      <c r="AE251" s="987"/>
      <c r="AF251" s="989">
        <f t="shared" si="18"/>
        <v>0</v>
      </c>
    </row>
    <row r="252" spans="1:32" s="646" customFormat="1" ht="15">
      <c r="A252" s="1041" t="s">
        <v>677</v>
      </c>
      <c r="B252" s="1039" t="s">
        <v>190</v>
      </c>
      <c r="C252" s="1038"/>
      <c r="D252" s="1039"/>
      <c r="E252" s="1038"/>
      <c r="F252" s="1038"/>
      <c r="G252" s="1038"/>
      <c r="H252" s="1038"/>
      <c r="I252" s="1038"/>
      <c r="J252" s="1038"/>
      <c r="K252" s="1038"/>
      <c r="L252" s="1040"/>
      <c r="M252" s="1040"/>
      <c r="N252" s="1040"/>
      <c r="O252" s="1040"/>
      <c r="P252" s="1038"/>
      <c r="Q252" s="1038"/>
      <c r="R252" s="1038"/>
      <c r="S252" s="1038">
        <v>1</v>
      </c>
      <c r="T252" s="1038"/>
      <c r="U252" s="1038"/>
      <c r="V252" s="1038"/>
      <c r="W252" s="1038"/>
      <c r="X252" s="1038"/>
      <c r="Y252" s="1038"/>
      <c r="Z252" s="1038"/>
      <c r="AA252" s="1038">
        <f t="shared" si="16"/>
        <v>1</v>
      </c>
      <c r="AB252" s="1038" t="s">
        <v>551</v>
      </c>
      <c r="AC252" s="1038" t="s">
        <v>68</v>
      </c>
      <c r="AD252" s="1041" t="s">
        <v>32</v>
      </c>
      <c r="AE252" s="1038">
        <v>1.6E-2</v>
      </c>
      <c r="AF252" s="1043">
        <f t="shared" si="18"/>
        <v>260091</v>
      </c>
    </row>
    <row r="253" spans="1:32" s="646" customFormat="1" ht="15">
      <c r="A253" s="1041" t="s">
        <v>678</v>
      </c>
      <c r="B253" s="1039" t="s">
        <v>191</v>
      </c>
      <c r="C253" s="1038"/>
      <c r="D253" s="1039"/>
      <c r="E253" s="1038"/>
      <c r="F253" s="1038"/>
      <c r="G253" s="1038"/>
      <c r="H253" s="1038"/>
      <c r="I253" s="1038"/>
      <c r="J253" s="1038"/>
      <c r="K253" s="1038"/>
      <c r="L253" s="1040"/>
      <c r="M253" s="1040"/>
      <c r="N253" s="1040"/>
      <c r="O253" s="1040"/>
      <c r="P253" s="1038"/>
      <c r="Q253" s="1038"/>
      <c r="R253" s="1038"/>
      <c r="S253" s="1038">
        <v>1</v>
      </c>
      <c r="T253" s="1038"/>
      <c r="U253" s="1038"/>
      <c r="V253" s="1038"/>
      <c r="W253" s="1038"/>
      <c r="X253" s="1038"/>
      <c r="Y253" s="1038"/>
      <c r="Z253" s="1038"/>
      <c r="AA253" s="1038">
        <f t="shared" si="16"/>
        <v>1</v>
      </c>
      <c r="AB253" s="1038" t="s">
        <v>551</v>
      </c>
      <c r="AC253" s="1038" t="s">
        <v>68</v>
      </c>
      <c r="AD253" s="1041" t="s">
        <v>32</v>
      </c>
      <c r="AE253" s="1038">
        <v>8.0000000000000002E-3</v>
      </c>
      <c r="AF253" s="1043">
        <f t="shared" si="18"/>
        <v>260091</v>
      </c>
    </row>
    <row r="254" spans="1:32" s="638" customFormat="1" ht="38.25">
      <c r="A254" s="1036" t="s">
        <v>300</v>
      </c>
      <c r="B254" s="986" t="s">
        <v>192</v>
      </c>
      <c r="C254" s="987"/>
      <c r="D254" s="986"/>
      <c r="E254" s="987"/>
      <c r="F254" s="987"/>
      <c r="G254" s="987"/>
      <c r="H254" s="987"/>
      <c r="I254" s="987"/>
      <c r="J254" s="987"/>
      <c r="K254" s="987"/>
      <c r="L254" s="988"/>
      <c r="M254" s="988"/>
      <c r="N254" s="988"/>
      <c r="O254" s="988"/>
      <c r="P254" s="987"/>
      <c r="Q254" s="987"/>
      <c r="R254" s="987"/>
      <c r="S254" s="987">
        <v>1</v>
      </c>
      <c r="T254" s="987"/>
      <c r="U254" s="987"/>
      <c r="V254" s="987"/>
      <c r="W254" s="987"/>
      <c r="X254" s="987"/>
      <c r="Y254" s="987"/>
      <c r="Z254" s="987"/>
      <c r="AA254" s="987">
        <f t="shared" si="16"/>
        <v>1</v>
      </c>
      <c r="AB254" s="987" t="s">
        <v>551</v>
      </c>
      <c r="AC254" s="987" t="s">
        <v>68</v>
      </c>
      <c r="AD254" s="1036" t="s">
        <v>32</v>
      </c>
      <c r="AE254" s="987">
        <v>4.0000000000000001E-3</v>
      </c>
      <c r="AF254" s="989">
        <f t="shared" si="18"/>
        <v>260091</v>
      </c>
    </row>
    <row r="255" spans="1:32" s="638" customFormat="1" ht="25.5">
      <c r="A255" s="1036" t="s">
        <v>302</v>
      </c>
      <c r="B255" s="986" t="s">
        <v>193</v>
      </c>
      <c r="C255" s="987"/>
      <c r="D255" s="986"/>
      <c r="E255" s="987"/>
      <c r="F255" s="987"/>
      <c r="G255" s="987"/>
      <c r="H255" s="987"/>
      <c r="I255" s="987"/>
      <c r="J255" s="987"/>
      <c r="K255" s="987"/>
      <c r="L255" s="988"/>
      <c r="M255" s="988"/>
      <c r="N255" s="988"/>
      <c r="O255" s="988"/>
      <c r="P255" s="987"/>
      <c r="Q255" s="987"/>
      <c r="R255" s="987"/>
      <c r="S255" s="987">
        <v>1</v>
      </c>
      <c r="T255" s="987"/>
      <c r="U255" s="987"/>
      <c r="V255" s="987"/>
      <c r="W255" s="987"/>
      <c r="X255" s="987"/>
      <c r="Y255" s="987"/>
      <c r="Z255" s="987"/>
      <c r="AA255" s="987">
        <f t="shared" si="16"/>
        <v>1</v>
      </c>
      <c r="AB255" s="987" t="s">
        <v>1</v>
      </c>
      <c r="AC255" s="987" t="s">
        <v>68</v>
      </c>
      <c r="AD255" s="1036" t="s">
        <v>32</v>
      </c>
      <c r="AE255" s="987">
        <v>0.01</v>
      </c>
      <c r="AF255" s="989">
        <f t="shared" si="18"/>
        <v>260091</v>
      </c>
    </row>
    <row r="256" spans="1:32" s="638" customFormat="1" ht="51">
      <c r="A256" s="1036" t="s">
        <v>304</v>
      </c>
      <c r="B256" s="1321" t="s">
        <v>654</v>
      </c>
      <c r="C256" s="987"/>
      <c r="D256" s="986"/>
      <c r="E256" s="987"/>
      <c r="F256" s="987"/>
      <c r="G256" s="987"/>
      <c r="H256" s="987"/>
      <c r="I256" s="987"/>
      <c r="J256" s="987"/>
      <c r="K256" s="987"/>
      <c r="L256" s="988"/>
      <c r="M256" s="988"/>
      <c r="N256" s="988"/>
      <c r="O256" s="988"/>
      <c r="P256" s="987"/>
      <c r="Q256" s="987"/>
      <c r="R256" s="987"/>
      <c r="S256" s="987"/>
      <c r="T256" s="987">
        <v>1</v>
      </c>
      <c r="U256" s="987"/>
      <c r="V256" s="987"/>
      <c r="W256" s="987"/>
      <c r="X256" s="987"/>
      <c r="Y256" s="987"/>
      <c r="Z256" s="987"/>
      <c r="AA256" s="987">
        <f t="shared" si="16"/>
        <v>1</v>
      </c>
      <c r="AB256" s="987" t="s">
        <v>53</v>
      </c>
      <c r="AC256" s="987" t="s">
        <v>69</v>
      </c>
      <c r="AD256" s="1036" t="s">
        <v>32</v>
      </c>
      <c r="AE256" s="987">
        <v>0.02</v>
      </c>
      <c r="AF256" s="989">
        <f t="shared" si="18"/>
        <v>296770.5</v>
      </c>
    </row>
    <row r="257" spans="1:32" s="638" customFormat="1" ht="38.25">
      <c r="A257" s="1036" t="s">
        <v>306</v>
      </c>
      <c r="B257" s="986" t="s">
        <v>974</v>
      </c>
      <c r="C257" s="987"/>
      <c r="D257" s="986"/>
      <c r="E257" s="987"/>
      <c r="F257" s="987"/>
      <c r="G257" s="987"/>
      <c r="H257" s="987"/>
      <c r="I257" s="987"/>
      <c r="J257" s="987"/>
      <c r="K257" s="987"/>
      <c r="L257" s="988"/>
      <c r="M257" s="988"/>
      <c r="N257" s="988"/>
      <c r="O257" s="988"/>
      <c r="P257" s="987"/>
      <c r="Q257" s="987"/>
      <c r="R257" s="987"/>
      <c r="S257" s="987"/>
      <c r="T257" s="987">
        <v>1</v>
      </c>
      <c r="U257" s="987"/>
      <c r="V257" s="987"/>
      <c r="W257" s="987"/>
      <c r="X257" s="987"/>
      <c r="Y257" s="987"/>
      <c r="Z257" s="987"/>
      <c r="AA257" s="987">
        <f t="shared" si="16"/>
        <v>1</v>
      </c>
      <c r="AB257" s="987" t="s">
        <v>975</v>
      </c>
      <c r="AC257" s="987" t="s">
        <v>69</v>
      </c>
      <c r="AD257" s="1036" t="s">
        <v>32</v>
      </c>
      <c r="AE257" s="987">
        <v>32</v>
      </c>
      <c r="AF257" s="989">
        <f t="shared" si="18"/>
        <v>296770.5</v>
      </c>
    </row>
    <row r="258" spans="1:32" s="471" customFormat="1" ht="18" customHeight="1">
      <c r="A258" s="995" t="s">
        <v>130</v>
      </c>
      <c r="B258" s="1407" t="s">
        <v>196</v>
      </c>
      <c r="C258" s="1407"/>
      <c r="D258" s="1407"/>
      <c r="E258" s="1407"/>
      <c r="F258" s="1407"/>
      <c r="G258" s="1407"/>
      <c r="H258" s="1407"/>
      <c r="I258" s="1407"/>
      <c r="J258" s="1407"/>
      <c r="K258" s="1407"/>
      <c r="L258" s="1407"/>
      <c r="M258" s="1407"/>
      <c r="N258" s="1407"/>
      <c r="O258" s="1407"/>
      <c r="P258" s="1407"/>
      <c r="Q258" s="1407"/>
      <c r="R258" s="1407"/>
      <c r="S258" s="1407"/>
      <c r="T258" s="1407"/>
      <c r="U258" s="1407"/>
      <c r="V258" s="1407"/>
      <c r="W258" s="1407"/>
      <c r="X258" s="1407"/>
      <c r="Y258" s="1407"/>
      <c r="Z258" s="1407"/>
      <c r="AA258" s="1407"/>
      <c r="AB258" s="1407"/>
      <c r="AC258" s="1407"/>
      <c r="AD258" s="1407"/>
      <c r="AE258" s="1407"/>
      <c r="AF258" s="996"/>
    </row>
    <row r="259" spans="1:32" s="287" customFormat="1">
      <c r="A259" s="1036" t="s">
        <v>33</v>
      </c>
      <c r="B259" s="986" t="s">
        <v>197</v>
      </c>
      <c r="C259" s="987"/>
      <c r="D259" s="986"/>
      <c r="E259" s="987"/>
      <c r="F259" s="987"/>
      <c r="G259" s="987"/>
      <c r="H259" s="987"/>
      <c r="I259" s="987"/>
      <c r="J259" s="987"/>
      <c r="K259" s="987"/>
      <c r="L259" s="988"/>
      <c r="M259" s="988"/>
      <c r="N259" s="988"/>
      <c r="O259" s="988"/>
      <c r="P259" s="987"/>
      <c r="Q259" s="987"/>
      <c r="R259" s="987"/>
      <c r="S259" s="987"/>
      <c r="T259" s="987"/>
      <c r="U259" s="987"/>
      <c r="V259" s="987"/>
      <c r="W259" s="987"/>
      <c r="X259" s="987"/>
      <c r="Y259" s="987"/>
      <c r="Z259" s="987"/>
      <c r="AA259" s="987">
        <f t="shared" ref="AA259:AA265" si="19">SUM(C259:Z259)</f>
        <v>0</v>
      </c>
      <c r="AB259" s="987"/>
      <c r="AC259" s="987"/>
      <c r="AD259" s="1036"/>
      <c r="AE259" s="987"/>
      <c r="AF259" s="989">
        <f t="shared" si="18"/>
        <v>0</v>
      </c>
    </row>
    <row r="260" spans="1:32" s="287" customFormat="1" ht="25.5">
      <c r="A260" s="1036" t="s">
        <v>134</v>
      </c>
      <c r="B260" s="1321" t="s">
        <v>198</v>
      </c>
      <c r="C260" s="987"/>
      <c r="D260" s="986"/>
      <c r="E260" s="987"/>
      <c r="F260" s="987"/>
      <c r="G260" s="987"/>
      <c r="H260" s="987"/>
      <c r="I260" s="987"/>
      <c r="J260" s="987"/>
      <c r="K260" s="987"/>
      <c r="L260" s="988"/>
      <c r="M260" s="988"/>
      <c r="N260" s="988"/>
      <c r="O260" s="988"/>
      <c r="P260" s="987"/>
      <c r="Q260" s="987"/>
      <c r="R260" s="987"/>
      <c r="S260" s="987"/>
      <c r="T260" s="987"/>
      <c r="U260" s="987"/>
      <c r="V260" s="987">
        <v>1</v>
      </c>
      <c r="W260" s="987"/>
      <c r="X260" s="987"/>
      <c r="Y260" s="987"/>
      <c r="Z260" s="987"/>
      <c r="AA260" s="987">
        <f t="shared" si="19"/>
        <v>1</v>
      </c>
      <c r="AB260" s="987" t="s">
        <v>203</v>
      </c>
      <c r="AC260" s="987" t="s">
        <v>71</v>
      </c>
      <c r="AD260" s="1036" t="s">
        <v>32</v>
      </c>
      <c r="AE260" s="987">
        <v>1200</v>
      </c>
      <c r="AF260" s="989">
        <f t="shared" ref="AF260:AF265" si="20">(C260*C$6+D260*D$6+E260*E$6+F260*F$6+G260*G$6+H260*H$6+I260*I$6+J260*J$6+K260*K$6+L260*L$6+M260*M$6+N260*N$6+O260*O$6+P260*P$6+Q260*Q$6+R260*R$6+S260*S$6+T260*T$6+U260*U$6+V260*V$6+W260*W$6+X260*X$6+Y260*Y$6+Z260*Z$6)</f>
        <v>370129.5</v>
      </c>
    </row>
    <row r="261" spans="1:32" s="287" customFormat="1">
      <c r="A261" s="1036" t="s">
        <v>135</v>
      </c>
      <c r="B261" s="986" t="s">
        <v>199</v>
      </c>
      <c r="C261" s="987"/>
      <c r="D261" s="986"/>
      <c r="E261" s="987"/>
      <c r="F261" s="987"/>
      <c r="G261" s="987"/>
      <c r="H261" s="987"/>
      <c r="I261" s="987"/>
      <c r="J261" s="987"/>
      <c r="K261" s="987"/>
      <c r="L261" s="988"/>
      <c r="M261" s="988"/>
      <c r="N261" s="988"/>
      <c r="O261" s="988"/>
      <c r="P261" s="987"/>
      <c r="Q261" s="987"/>
      <c r="R261" s="987"/>
      <c r="S261" s="987"/>
      <c r="T261" s="987"/>
      <c r="U261" s="987"/>
      <c r="V261" s="987">
        <v>1</v>
      </c>
      <c r="W261" s="987"/>
      <c r="X261" s="987"/>
      <c r="Y261" s="987"/>
      <c r="Z261" s="987"/>
      <c r="AA261" s="987">
        <f t="shared" si="19"/>
        <v>1</v>
      </c>
      <c r="AB261" s="987" t="s">
        <v>1</v>
      </c>
      <c r="AC261" s="987" t="s">
        <v>71</v>
      </c>
      <c r="AD261" s="1036" t="s">
        <v>32</v>
      </c>
      <c r="AE261" s="987">
        <v>0.01</v>
      </c>
      <c r="AF261" s="989">
        <f t="shared" si="20"/>
        <v>370129.5</v>
      </c>
    </row>
    <row r="262" spans="1:32" s="287" customFormat="1" ht="25.5">
      <c r="A262" s="1036" t="s">
        <v>34</v>
      </c>
      <c r="B262" s="986" t="s">
        <v>200</v>
      </c>
      <c r="C262" s="987"/>
      <c r="D262" s="986"/>
      <c r="E262" s="987"/>
      <c r="F262" s="987"/>
      <c r="G262" s="987"/>
      <c r="H262" s="987"/>
      <c r="I262" s="987"/>
      <c r="J262" s="987"/>
      <c r="K262" s="987"/>
      <c r="L262" s="988"/>
      <c r="M262" s="988"/>
      <c r="N262" s="988"/>
      <c r="O262" s="988"/>
      <c r="P262" s="987"/>
      <c r="Q262" s="987"/>
      <c r="R262" s="987"/>
      <c r="S262" s="987"/>
      <c r="T262" s="987"/>
      <c r="U262" s="987"/>
      <c r="V262" s="987"/>
      <c r="W262" s="987"/>
      <c r="X262" s="987"/>
      <c r="Y262" s="987"/>
      <c r="Z262" s="987"/>
      <c r="AA262" s="987">
        <f t="shared" si="19"/>
        <v>0</v>
      </c>
      <c r="AB262" s="987"/>
      <c r="AC262" s="987"/>
      <c r="AD262" s="1036"/>
      <c r="AE262" s="987"/>
      <c r="AF262" s="989">
        <f t="shared" si="20"/>
        <v>0</v>
      </c>
    </row>
    <row r="263" spans="1:32" s="287" customFormat="1">
      <c r="A263" s="1036" t="s">
        <v>133</v>
      </c>
      <c r="B263" s="986" t="s">
        <v>201</v>
      </c>
      <c r="C263" s="987"/>
      <c r="D263" s="986"/>
      <c r="E263" s="987"/>
      <c r="F263" s="987"/>
      <c r="G263" s="987"/>
      <c r="H263" s="987"/>
      <c r="I263" s="987"/>
      <c r="J263" s="987"/>
      <c r="K263" s="987"/>
      <c r="L263" s="988"/>
      <c r="M263" s="988"/>
      <c r="N263" s="988"/>
      <c r="O263" s="988"/>
      <c r="P263" s="987"/>
      <c r="Q263" s="987"/>
      <c r="R263" s="987"/>
      <c r="S263" s="987"/>
      <c r="T263" s="987"/>
      <c r="U263" s="987"/>
      <c r="V263" s="987">
        <v>1</v>
      </c>
      <c r="W263" s="987"/>
      <c r="X263" s="987"/>
      <c r="Y263" s="987"/>
      <c r="Z263" s="987"/>
      <c r="AA263" s="987">
        <f t="shared" si="19"/>
        <v>1</v>
      </c>
      <c r="AB263" s="987" t="s">
        <v>147</v>
      </c>
      <c r="AC263" s="987" t="s">
        <v>71</v>
      </c>
      <c r="AD263" s="1036" t="s">
        <v>32</v>
      </c>
      <c r="AE263" s="987">
        <v>2.5000000000000001E-2</v>
      </c>
      <c r="AF263" s="989">
        <f t="shared" si="20"/>
        <v>370129.5</v>
      </c>
    </row>
    <row r="264" spans="1:32" s="287" customFormat="1">
      <c r="A264" s="1036" t="s">
        <v>136</v>
      </c>
      <c r="B264" s="986" t="s">
        <v>955</v>
      </c>
      <c r="C264" s="987"/>
      <c r="D264" s="986"/>
      <c r="E264" s="987"/>
      <c r="F264" s="987"/>
      <c r="G264" s="987"/>
      <c r="H264" s="987"/>
      <c r="I264" s="987"/>
      <c r="J264" s="987"/>
      <c r="K264" s="987"/>
      <c r="L264" s="988"/>
      <c r="M264" s="988"/>
      <c r="N264" s="988"/>
      <c r="O264" s="988"/>
      <c r="P264" s="987"/>
      <c r="Q264" s="987"/>
      <c r="R264" s="987"/>
      <c r="S264" s="987"/>
      <c r="T264" s="987"/>
      <c r="U264" s="987"/>
      <c r="V264" s="987">
        <v>1</v>
      </c>
      <c r="W264" s="987"/>
      <c r="X264" s="987"/>
      <c r="Y264" s="987"/>
      <c r="Z264" s="987"/>
      <c r="AA264" s="987">
        <f t="shared" si="19"/>
        <v>1</v>
      </c>
      <c r="AB264" s="987" t="s">
        <v>203</v>
      </c>
      <c r="AC264" s="987" t="s">
        <v>71</v>
      </c>
      <c r="AD264" s="1036" t="s">
        <v>32</v>
      </c>
      <c r="AE264" s="987">
        <v>8</v>
      </c>
      <c r="AF264" s="989">
        <f t="shared" si="20"/>
        <v>370129.5</v>
      </c>
    </row>
    <row r="265" spans="1:32" s="287" customFormat="1" ht="38.25">
      <c r="A265" s="1036" t="s">
        <v>35</v>
      </c>
      <c r="B265" s="986" t="s">
        <v>976</v>
      </c>
      <c r="C265" s="987"/>
      <c r="D265" s="986"/>
      <c r="E265" s="987"/>
      <c r="F265" s="987"/>
      <c r="G265" s="987"/>
      <c r="H265" s="987"/>
      <c r="I265" s="987"/>
      <c r="J265" s="987"/>
      <c r="K265" s="987"/>
      <c r="L265" s="988"/>
      <c r="M265" s="988"/>
      <c r="N265" s="988"/>
      <c r="O265" s="988"/>
      <c r="P265" s="987"/>
      <c r="Q265" s="987"/>
      <c r="R265" s="987"/>
      <c r="S265" s="987"/>
      <c r="T265" s="987"/>
      <c r="U265" s="987"/>
      <c r="V265" s="987">
        <v>1</v>
      </c>
      <c r="W265" s="987"/>
      <c r="X265" s="987"/>
      <c r="Y265" s="987"/>
      <c r="Z265" s="987"/>
      <c r="AA265" s="987">
        <f t="shared" si="19"/>
        <v>1</v>
      </c>
      <c r="AB265" s="987" t="s">
        <v>975</v>
      </c>
      <c r="AC265" s="987" t="s">
        <v>71</v>
      </c>
      <c r="AD265" s="1036" t="s">
        <v>32</v>
      </c>
      <c r="AE265" s="987">
        <v>32</v>
      </c>
      <c r="AF265" s="989">
        <f t="shared" si="20"/>
        <v>370129.5</v>
      </c>
    </row>
    <row r="266" spans="1:32">
      <c r="A266" s="110" t="s">
        <v>131</v>
      </c>
      <c r="B266" s="883" t="s">
        <v>258</v>
      </c>
      <c r="C266" s="884"/>
      <c r="D266" s="884"/>
      <c r="E266" s="884"/>
      <c r="F266" s="884"/>
      <c r="G266" s="884"/>
      <c r="H266" s="884"/>
      <c r="I266" s="884"/>
      <c r="J266" s="884"/>
      <c r="K266" s="884"/>
      <c r="L266" s="884"/>
      <c r="M266" s="884"/>
      <c r="N266" s="884"/>
      <c r="O266" s="884"/>
      <c r="P266" s="884"/>
      <c r="Q266" s="884"/>
      <c r="R266" s="884"/>
      <c r="S266" s="884"/>
      <c r="T266" s="884"/>
      <c r="U266" s="884"/>
      <c r="V266" s="884"/>
      <c r="W266" s="884"/>
      <c r="X266" s="884"/>
      <c r="Y266" s="884"/>
      <c r="Z266" s="884"/>
      <c r="AA266" s="884"/>
      <c r="AB266" s="884"/>
      <c r="AC266" s="884"/>
      <c r="AD266" s="884"/>
      <c r="AE266" s="884"/>
      <c r="AF266" s="458"/>
    </row>
    <row r="267" spans="1:32" ht="51.6" customHeight="1">
      <c r="A267" s="82" t="s">
        <v>33</v>
      </c>
      <c r="B267" s="1386" t="s">
        <v>718</v>
      </c>
      <c r="C267" s="1387"/>
      <c r="D267" s="1387"/>
      <c r="E267" s="1387"/>
      <c r="F267" s="1387"/>
      <c r="G267" s="1387"/>
      <c r="H267" s="1387"/>
      <c r="I267" s="1387"/>
      <c r="J267" s="1387"/>
      <c r="K267" s="1387"/>
      <c r="L267" s="1387"/>
      <c r="M267" s="1387"/>
      <c r="N267" s="1387"/>
      <c r="O267" s="1387"/>
      <c r="P267" s="1387"/>
      <c r="Q267" s="1387"/>
      <c r="R267" s="1387"/>
      <c r="S267" s="1387"/>
      <c r="T267" s="1387"/>
      <c r="U267" s="1387"/>
      <c r="V267" s="1387"/>
      <c r="W267" s="1387"/>
      <c r="X267" s="1387"/>
      <c r="Y267" s="1387"/>
      <c r="Z267" s="1387"/>
      <c r="AA267" s="1387"/>
      <c r="AB267" s="1387"/>
      <c r="AC267" s="1387"/>
      <c r="AD267" s="1388"/>
      <c r="AE267" s="78">
        <v>1.3</v>
      </c>
      <c r="AF267" s="113"/>
    </row>
    <row r="268" spans="1:32" ht="40.15" customHeight="1">
      <c r="A268" s="82" t="s">
        <v>34</v>
      </c>
      <c r="B268" s="1386" t="s">
        <v>719</v>
      </c>
      <c r="C268" s="1387"/>
      <c r="D268" s="1387"/>
      <c r="E268" s="1387"/>
      <c r="F268" s="1387"/>
      <c r="G268" s="1387"/>
      <c r="H268" s="1387"/>
      <c r="I268" s="1387"/>
      <c r="J268" s="1387"/>
      <c r="K268" s="1387"/>
      <c r="L268" s="1387"/>
      <c r="M268" s="1387"/>
      <c r="N268" s="1387"/>
      <c r="O268" s="1387"/>
      <c r="P268" s="1387"/>
      <c r="Q268" s="1387"/>
      <c r="R268" s="1387"/>
      <c r="S268" s="1387"/>
      <c r="T268" s="1387"/>
      <c r="U268" s="1387"/>
      <c r="V268" s="1387"/>
      <c r="W268" s="1387"/>
      <c r="X268" s="1387"/>
      <c r="Y268" s="1387"/>
      <c r="Z268" s="1387"/>
      <c r="AA268" s="1387"/>
      <c r="AB268" s="1387"/>
      <c r="AC268" s="1387"/>
      <c r="AD268" s="1388"/>
      <c r="AE268" s="79" t="s">
        <v>567</v>
      </c>
      <c r="AF268" s="113"/>
    </row>
    <row r="269" spans="1:32" ht="27" customHeight="1">
      <c r="A269" s="82" t="s">
        <v>35</v>
      </c>
      <c r="B269" s="1386" t="s">
        <v>628</v>
      </c>
      <c r="C269" s="1387"/>
      <c r="D269" s="1387"/>
      <c r="E269" s="1387"/>
      <c r="F269" s="1387"/>
      <c r="G269" s="1387"/>
      <c r="H269" s="1387"/>
      <c r="I269" s="1387"/>
      <c r="J269" s="1387"/>
      <c r="K269" s="1387"/>
      <c r="L269" s="1387"/>
      <c r="M269" s="1387"/>
      <c r="N269" s="1387"/>
      <c r="O269" s="1387"/>
      <c r="P269" s="1387"/>
      <c r="Q269" s="1387"/>
      <c r="R269" s="1387"/>
      <c r="S269" s="1387"/>
      <c r="T269" s="1387"/>
      <c r="U269" s="1387"/>
      <c r="V269" s="1387"/>
      <c r="W269" s="1387"/>
      <c r="X269" s="1387"/>
      <c r="Y269" s="1387"/>
      <c r="Z269" s="1387"/>
      <c r="AA269" s="1387"/>
      <c r="AB269" s="1387"/>
      <c r="AC269" s="1387"/>
      <c r="AD269" s="1388"/>
      <c r="AE269" s="78"/>
      <c r="AF269" s="113"/>
    </row>
    <row r="270" spans="1:32" ht="27" customHeight="1">
      <c r="A270" s="82" t="s">
        <v>158</v>
      </c>
      <c r="B270" s="1386" t="s">
        <v>721</v>
      </c>
      <c r="C270" s="1387"/>
      <c r="D270" s="1387"/>
      <c r="E270" s="1387"/>
      <c r="F270" s="1387"/>
      <c r="G270" s="1387"/>
      <c r="H270" s="1387"/>
      <c r="I270" s="1387"/>
      <c r="J270" s="1387"/>
      <c r="K270" s="1387"/>
      <c r="L270" s="1387"/>
      <c r="M270" s="1387"/>
      <c r="N270" s="1387"/>
      <c r="O270" s="1387"/>
      <c r="P270" s="1387"/>
      <c r="Q270" s="1387"/>
      <c r="R270" s="1387"/>
      <c r="S270" s="1387"/>
      <c r="T270" s="1387"/>
      <c r="U270" s="1387"/>
      <c r="V270" s="1387"/>
      <c r="W270" s="1387"/>
      <c r="X270" s="1387"/>
      <c r="Y270" s="1387"/>
      <c r="Z270" s="1387"/>
      <c r="AA270" s="1387"/>
      <c r="AB270" s="1387"/>
      <c r="AC270" s="1387"/>
      <c r="AD270" s="1388"/>
      <c r="AE270" s="78"/>
      <c r="AF270" s="113"/>
    </row>
    <row r="271" spans="1:32" ht="27.6" customHeight="1">
      <c r="A271" s="82" t="s">
        <v>159</v>
      </c>
      <c r="B271" s="1386" t="s">
        <v>720</v>
      </c>
      <c r="C271" s="1387"/>
      <c r="D271" s="1387"/>
      <c r="E271" s="1387"/>
      <c r="F271" s="1387"/>
      <c r="G271" s="1387"/>
      <c r="H271" s="1387"/>
      <c r="I271" s="1387"/>
      <c r="J271" s="1387"/>
      <c r="K271" s="1387"/>
      <c r="L271" s="1387"/>
      <c r="M271" s="1387"/>
      <c r="N271" s="1387"/>
      <c r="O271" s="1387"/>
      <c r="P271" s="1387"/>
      <c r="Q271" s="1387"/>
      <c r="R271" s="1387"/>
      <c r="S271" s="1387"/>
      <c r="T271" s="1387"/>
      <c r="U271" s="1387"/>
      <c r="V271" s="1387"/>
      <c r="W271" s="1387"/>
      <c r="X271" s="1387"/>
      <c r="Y271" s="1387"/>
      <c r="Z271" s="1387"/>
      <c r="AA271" s="1387"/>
      <c r="AB271" s="1387"/>
      <c r="AC271" s="1387"/>
      <c r="AD271" s="1388"/>
      <c r="AE271" s="78">
        <v>1.5</v>
      </c>
      <c r="AF271" s="113"/>
    </row>
    <row r="272" spans="1:32" ht="28.5" customHeight="1">
      <c r="A272" s="82" t="s">
        <v>160</v>
      </c>
      <c r="B272" s="1386" t="s">
        <v>723</v>
      </c>
      <c r="C272" s="1387"/>
      <c r="D272" s="1387"/>
      <c r="E272" s="1387"/>
      <c r="F272" s="1387"/>
      <c r="G272" s="1387"/>
      <c r="H272" s="1387"/>
      <c r="I272" s="1387"/>
      <c r="J272" s="1387"/>
      <c r="K272" s="1387"/>
      <c r="L272" s="1387"/>
      <c r="M272" s="1387"/>
      <c r="N272" s="1387"/>
      <c r="O272" s="1387"/>
      <c r="P272" s="1387"/>
      <c r="Q272" s="1387"/>
      <c r="R272" s="1387"/>
      <c r="S272" s="1387"/>
      <c r="T272" s="1387"/>
      <c r="U272" s="1387"/>
      <c r="V272" s="1387"/>
      <c r="W272" s="1387"/>
      <c r="X272" s="1387"/>
      <c r="Y272" s="1387"/>
      <c r="Z272" s="1387"/>
      <c r="AA272" s="1387"/>
      <c r="AB272" s="1387"/>
      <c r="AC272" s="1387"/>
      <c r="AD272" s="1388"/>
      <c r="AE272" s="78">
        <v>0.9</v>
      </c>
      <c r="AF272" s="113"/>
    </row>
    <row r="273" spans="1:34" ht="33.75" customHeight="1">
      <c r="A273" s="82" t="s">
        <v>161</v>
      </c>
      <c r="B273" s="1386" t="s">
        <v>722</v>
      </c>
      <c r="C273" s="1387"/>
      <c r="D273" s="1387"/>
      <c r="E273" s="1387"/>
      <c r="F273" s="1387"/>
      <c r="G273" s="1387"/>
      <c r="H273" s="1387"/>
      <c r="I273" s="1387"/>
      <c r="J273" s="1387"/>
      <c r="K273" s="1387"/>
      <c r="L273" s="1387"/>
      <c r="M273" s="1387"/>
      <c r="N273" s="1387"/>
      <c r="O273" s="1387"/>
      <c r="P273" s="1387"/>
      <c r="Q273" s="1387"/>
      <c r="R273" s="1387"/>
      <c r="S273" s="1387"/>
      <c r="T273" s="1387"/>
      <c r="U273" s="1387"/>
      <c r="V273" s="1387"/>
      <c r="W273" s="1387"/>
      <c r="X273" s="1387"/>
      <c r="Y273" s="1387"/>
      <c r="Z273" s="1387"/>
      <c r="AA273" s="1387"/>
      <c r="AB273" s="1387"/>
      <c r="AC273" s="1387"/>
      <c r="AD273" s="1388"/>
      <c r="AE273" s="78"/>
      <c r="AF273" s="113"/>
    </row>
    <row r="274" spans="1:34" ht="27.6" customHeight="1">
      <c r="A274" s="82" t="s">
        <v>162</v>
      </c>
      <c r="B274" s="1386" t="s">
        <v>708</v>
      </c>
      <c r="C274" s="1387"/>
      <c r="D274" s="1387"/>
      <c r="E274" s="1387"/>
      <c r="F274" s="1387"/>
      <c r="G274" s="1387"/>
      <c r="H274" s="1387"/>
      <c r="I274" s="1387"/>
      <c r="J274" s="1387"/>
      <c r="K274" s="1387"/>
      <c r="L274" s="1387"/>
      <c r="M274" s="1387"/>
      <c r="N274" s="1387"/>
      <c r="O274" s="1387"/>
      <c r="P274" s="1387"/>
      <c r="Q274" s="1387"/>
      <c r="R274" s="1387"/>
      <c r="S274" s="1387"/>
      <c r="T274" s="1387"/>
      <c r="U274" s="1387"/>
      <c r="V274" s="1387"/>
      <c r="W274" s="1387"/>
      <c r="X274" s="1387"/>
      <c r="Y274" s="1387"/>
      <c r="Z274" s="1387"/>
      <c r="AA274" s="1387"/>
      <c r="AB274" s="1387"/>
      <c r="AC274" s="1387"/>
      <c r="AD274" s="1388"/>
      <c r="AE274" s="78"/>
      <c r="AF274" s="113"/>
    </row>
    <row r="275" spans="1:34">
      <c r="A275" s="82"/>
      <c r="B275" s="80"/>
      <c r="C275" s="78"/>
      <c r="D275" s="80"/>
      <c r="E275" s="78"/>
      <c r="F275" s="78"/>
      <c r="G275" s="78"/>
      <c r="H275" s="78"/>
      <c r="I275" s="78"/>
      <c r="J275" s="78"/>
      <c r="K275" s="78"/>
      <c r="L275" s="112"/>
      <c r="M275" s="112"/>
      <c r="N275" s="112"/>
      <c r="O275" s="112"/>
      <c r="P275" s="78"/>
      <c r="Q275" s="78"/>
      <c r="R275" s="78"/>
      <c r="S275" s="78"/>
      <c r="T275" s="78"/>
      <c r="U275" s="78"/>
      <c r="V275" s="78"/>
      <c r="W275" s="78"/>
      <c r="X275" s="78"/>
      <c r="Y275" s="78"/>
      <c r="Z275" s="78"/>
      <c r="AA275" s="78"/>
      <c r="AB275" s="78"/>
      <c r="AC275" s="78"/>
      <c r="AD275" s="79"/>
      <c r="AE275" s="78"/>
      <c r="AF275" s="113">
        <f>(C275*C$6+D275*D$6+E275*E$6+F275*F$6+G275*G$6+H275*H$6+I275*I$6+J275*J$6+K275*K$6+L275*L$6+M275*M$6+N275*N$6+O275*O$6+P275*P$6+Q275*Q$6+R275*R$6+S275*S$6+T275*T$6+U275*U$6+V275*V$6+W275*W$6+X275*X$6+Y275*Y$6+Z275*Z$6)</f>
        <v>0</v>
      </c>
    </row>
    <row r="276" spans="1:34" ht="18" customHeight="1">
      <c r="A276" s="873" t="s">
        <v>111</v>
      </c>
      <c r="B276" s="1400" t="s">
        <v>679</v>
      </c>
      <c r="C276" s="1400"/>
      <c r="D276" s="1400"/>
      <c r="E276" s="1400"/>
      <c r="F276" s="1400"/>
      <c r="G276" s="1400"/>
      <c r="H276" s="1400"/>
      <c r="I276" s="1400"/>
      <c r="J276" s="1400"/>
      <c r="K276" s="1400"/>
      <c r="L276" s="1400"/>
      <c r="M276" s="1400"/>
      <c r="N276" s="1400"/>
      <c r="O276" s="1400"/>
      <c r="P276" s="1400"/>
      <c r="Q276" s="1400"/>
      <c r="R276" s="1400"/>
      <c r="S276" s="1400"/>
      <c r="T276" s="1400"/>
      <c r="U276" s="1400"/>
      <c r="V276" s="1400"/>
      <c r="W276" s="1400"/>
      <c r="X276" s="1400"/>
      <c r="Y276" s="1400"/>
      <c r="Z276" s="1400"/>
      <c r="AA276" s="1400"/>
      <c r="AB276" s="1400"/>
      <c r="AC276" s="1400"/>
      <c r="AD276" s="1400"/>
      <c r="AE276" s="949"/>
      <c r="AF276" s="949"/>
      <c r="AG276" s="949"/>
      <c r="AH276" s="949" t="s">
        <v>342</v>
      </c>
    </row>
    <row r="277" spans="1:34" ht="22.15" customHeight="1">
      <c r="A277" s="938" t="s">
        <v>137</v>
      </c>
      <c r="B277" s="1390" t="s">
        <v>724</v>
      </c>
      <c r="C277" s="1390"/>
      <c r="D277" s="1390"/>
      <c r="E277" s="1390"/>
      <c r="F277" s="1390"/>
      <c r="G277" s="1390"/>
      <c r="H277" s="1390"/>
      <c r="I277" s="1390"/>
      <c r="J277" s="1390"/>
      <c r="K277" s="1390"/>
      <c r="L277" s="1390"/>
      <c r="M277" s="1390"/>
      <c r="N277" s="1390"/>
      <c r="O277" s="1390"/>
      <c r="P277" s="1390"/>
      <c r="Q277" s="1390"/>
      <c r="R277" s="1390"/>
      <c r="S277" s="1390"/>
      <c r="T277" s="1390"/>
      <c r="U277" s="1390"/>
      <c r="V277" s="1390"/>
      <c r="W277" s="1390"/>
      <c r="X277" s="1390"/>
      <c r="Y277" s="1390"/>
      <c r="Z277" s="1390"/>
      <c r="AA277" s="1390"/>
      <c r="AB277" s="1390"/>
      <c r="AC277" s="1390"/>
      <c r="AD277" s="1390"/>
      <c r="AE277" s="827" t="s">
        <v>213</v>
      </c>
      <c r="AF277" s="827" t="s">
        <v>214</v>
      </c>
      <c r="AG277" s="827" t="s">
        <v>215</v>
      </c>
      <c r="AH277" s="165"/>
    </row>
    <row r="278" spans="1:34" s="638" customFormat="1" ht="25.5">
      <c r="A278" s="1036" t="s">
        <v>33</v>
      </c>
      <c r="B278" s="986" t="s">
        <v>229</v>
      </c>
      <c r="C278" s="987"/>
      <c r="D278" s="986"/>
      <c r="E278" s="987"/>
      <c r="F278" s="987"/>
      <c r="G278" s="987"/>
      <c r="H278" s="987"/>
      <c r="I278" s="987"/>
      <c r="J278" s="987"/>
      <c r="K278" s="987"/>
      <c r="L278" s="988"/>
      <c r="M278" s="988"/>
      <c r="N278" s="988"/>
      <c r="O278" s="988"/>
      <c r="P278" s="987"/>
      <c r="Q278" s="987"/>
      <c r="R278" s="987"/>
      <c r="S278" s="987"/>
      <c r="T278" s="987"/>
      <c r="U278" s="987"/>
      <c r="V278" s="987"/>
      <c r="W278" s="987"/>
      <c r="X278" s="987"/>
      <c r="Y278" s="987"/>
      <c r="Z278" s="987"/>
      <c r="AA278" s="987">
        <f t="shared" ref="AA278:AA322" si="21">SUM(C278:Z278)</f>
        <v>0</v>
      </c>
      <c r="AB278" s="987"/>
      <c r="AC278" s="987"/>
      <c r="AD278" s="1036"/>
      <c r="AE278" s="987"/>
      <c r="AF278" s="989"/>
      <c r="AG278" s="986"/>
      <c r="AH278" s="989">
        <f t="shared" ref="AH278:AH387" si="22">(C278*C$6+D278*D$6+E278*E$6+F278*F$6+G278*G$6+H278*H$6+I278*I$6+J278*J$6+K278*K$6+L278*L$6+M278*M$6+N278*N$6+O278*O$6+P278*P$6+Q278*Q$6+R278*R$6+S278*S$6+T278*T$6+U278*U$6+V278*V$6+W278*W$6+X278*X$6+Y278*Y$6+Z278*Z$6)</f>
        <v>0</v>
      </c>
    </row>
    <row r="279" spans="1:34" s="646" customFormat="1" ht="15">
      <c r="A279" s="1041" t="s">
        <v>134</v>
      </c>
      <c r="B279" s="1039" t="s">
        <v>153</v>
      </c>
      <c r="C279" s="1038"/>
      <c r="D279" s="1039"/>
      <c r="E279" s="1038"/>
      <c r="F279" s="1038"/>
      <c r="G279" s="987"/>
      <c r="H279" s="987"/>
      <c r="I279" s="987"/>
      <c r="J279" s="987"/>
      <c r="K279" s="987"/>
      <c r="L279" s="988"/>
      <c r="M279" s="988"/>
      <c r="N279" s="988"/>
      <c r="O279" s="988"/>
      <c r="P279" s="987"/>
      <c r="Q279" s="987"/>
      <c r="R279" s="987"/>
      <c r="S279" s="987"/>
      <c r="T279" s="987">
        <v>1</v>
      </c>
      <c r="U279" s="987"/>
      <c r="V279" s="987"/>
      <c r="W279" s="987"/>
      <c r="X279" s="987"/>
      <c r="Y279" s="987"/>
      <c r="Z279" s="987"/>
      <c r="AA279" s="987">
        <f t="shared" si="21"/>
        <v>1</v>
      </c>
      <c r="AB279" s="987" t="s">
        <v>53</v>
      </c>
      <c r="AC279" s="987" t="s">
        <v>69</v>
      </c>
      <c r="AD279" s="1036" t="s">
        <v>32</v>
      </c>
      <c r="AE279" s="990">
        <v>0.15</v>
      </c>
      <c r="AF279" s="990">
        <v>0.15</v>
      </c>
      <c r="AG279" s="1322">
        <v>0.19500000000000001</v>
      </c>
      <c r="AH279" s="989">
        <f t="shared" si="22"/>
        <v>296770.5</v>
      </c>
    </row>
    <row r="280" spans="1:34" s="1323" customFormat="1" ht="15">
      <c r="A280" s="1041" t="s">
        <v>135</v>
      </c>
      <c r="B280" s="1039" t="s">
        <v>155</v>
      </c>
      <c r="C280" s="1038"/>
      <c r="D280" s="1039"/>
      <c r="E280" s="1038"/>
      <c r="F280" s="1038"/>
      <c r="G280" s="987"/>
      <c r="H280" s="987"/>
      <c r="I280" s="987"/>
      <c r="J280" s="987"/>
      <c r="K280" s="987"/>
      <c r="L280" s="988"/>
      <c r="M280" s="988"/>
      <c r="N280" s="988"/>
      <c r="O280" s="988"/>
      <c r="P280" s="987"/>
      <c r="Q280" s="987"/>
      <c r="R280" s="987"/>
      <c r="S280" s="987"/>
      <c r="T280" s="987">
        <v>1</v>
      </c>
      <c r="U280" s="987"/>
      <c r="V280" s="987"/>
      <c r="W280" s="987"/>
      <c r="X280" s="987"/>
      <c r="Y280" s="987"/>
      <c r="Z280" s="987"/>
      <c r="AA280" s="987">
        <f t="shared" si="21"/>
        <v>1</v>
      </c>
      <c r="AB280" s="987" t="s">
        <v>53</v>
      </c>
      <c r="AC280" s="987" t="s">
        <v>69</v>
      </c>
      <c r="AD280" s="1036" t="s">
        <v>32</v>
      </c>
      <c r="AE280" s="990">
        <v>0.1</v>
      </c>
      <c r="AF280" s="990">
        <v>0.1</v>
      </c>
      <c r="AG280" s="1322">
        <v>0.13</v>
      </c>
      <c r="AH280" s="989">
        <f t="shared" si="22"/>
        <v>296770.5</v>
      </c>
    </row>
    <row r="281" spans="1:34" s="638" customFormat="1" ht="51">
      <c r="A281" s="1036" t="s">
        <v>34</v>
      </c>
      <c r="B281" s="1358" t="s">
        <v>715</v>
      </c>
      <c r="C281" s="987"/>
      <c r="D281" s="986"/>
      <c r="E281" s="987"/>
      <c r="F281" s="987"/>
      <c r="G281" s="987"/>
      <c r="H281" s="987"/>
      <c r="I281" s="987"/>
      <c r="J281" s="987"/>
      <c r="K281" s="987"/>
      <c r="L281" s="988"/>
      <c r="M281" s="988"/>
      <c r="N281" s="988"/>
      <c r="O281" s="988"/>
      <c r="P281" s="987"/>
      <c r="Q281" s="987"/>
      <c r="R281" s="987"/>
      <c r="S281" s="987"/>
      <c r="T281" s="987">
        <v>1</v>
      </c>
      <c r="U281" s="987"/>
      <c r="V281" s="987"/>
      <c r="W281" s="987"/>
      <c r="X281" s="987"/>
      <c r="Y281" s="987"/>
      <c r="Z281" s="987"/>
      <c r="AA281" s="987">
        <f t="shared" si="21"/>
        <v>1</v>
      </c>
      <c r="AB281" s="987" t="s">
        <v>53</v>
      </c>
      <c r="AC281" s="987" t="s">
        <v>69</v>
      </c>
      <c r="AD281" s="1036" t="s">
        <v>32</v>
      </c>
      <c r="AE281" s="990">
        <v>0.2</v>
      </c>
      <c r="AF281" s="990">
        <v>0.2</v>
      </c>
      <c r="AG281" s="1322">
        <v>0.26</v>
      </c>
      <c r="AH281" s="989">
        <f t="shared" si="22"/>
        <v>296770.5</v>
      </c>
    </row>
    <row r="282" spans="1:34" s="638" customFormat="1" ht="25.5">
      <c r="A282" s="1036" t="s">
        <v>35</v>
      </c>
      <c r="B282" s="986" t="s">
        <v>157</v>
      </c>
      <c r="C282" s="987"/>
      <c r="D282" s="986"/>
      <c r="E282" s="987"/>
      <c r="F282" s="987"/>
      <c r="G282" s="987"/>
      <c r="H282" s="987"/>
      <c r="I282" s="987"/>
      <c r="J282" s="987"/>
      <c r="K282" s="987"/>
      <c r="L282" s="988"/>
      <c r="M282" s="988"/>
      <c r="N282" s="988"/>
      <c r="O282" s="988"/>
      <c r="P282" s="987"/>
      <c r="Q282" s="987"/>
      <c r="R282" s="987"/>
      <c r="S282" s="987"/>
      <c r="T282" s="987"/>
      <c r="U282" s="987">
        <v>1</v>
      </c>
      <c r="V282" s="987"/>
      <c r="W282" s="987"/>
      <c r="X282" s="987"/>
      <c r="Y282" s="987"/>
      <c r="Z282" s="987"/>
      <c r="AA282" s="987">
        <f t="shared" si="21"/>
        <v>1</v>
      </c>
      <c r="AB282" s="987" t="s">
        <v>1</v>
      </c>
      <c r="AC282" s="987" t="s">
        <v>106</v>
      </c>
      <c r="AD282" s="1036" t="s">
        <v>32</v>
      </c>
      <c r="AE282" s="987">
        <v>0.107</v>
      </c>
      <c r="AF282" s="1324">
        <v>3.3000000000000002E-2</v>
      </c>
      <c r="AG282" s="986">
        <v>0.16700000000000001</v>
      </c>
      <c r="AH282" s="989">
        <f t="shared" si="22"/>
        <v>333450</v>
      </c>
    </row>
    <row r="283" spans="1:34" s="638" customFormat="1" ht="25.5">
      <c r="A283" s="1036" t="s">
        <v>158</v>
      </c>
      <c r="B283" s="986" t="s">
        <v>189</v>
      </c>
      <c r="C283" s="987"/>
      <c r="D283" s="986"/>
      <c r="E283" s="987"/>
      <c r="F283" s="987"/>
      <c r="G283" s="987"/>
      <c r="H283" s="987"/>
      <c r="I283" s="987"/>
      <c r="J283" s="987"/>
      <c r="K283" s="987"/>
      <c r="L283" s="988"/>
      <c r="M283" s="988"/>
      <c r="N283" s="988"/>
      <c r="O283" s="988"/>
      <c r="P283" s="987"/>
      <c r="Q283" s="987"/>
      <c r="R283" s="987"/>
      <c r="S283" s="987"/>
      <c r="T283" s="987"/>
      <c r="U283" s="987"/>
      <c r="V283" s="987"/>
      <c r="W283" s="987"/>
      <c r="X283" s="987"/>
      <c r="Y283" s="987"/>
      <c r="Z283" s="987"/>
      <c r="AA283" s="987">
        <f>SUM(C283:Z283)</f>
        <v>0</v>
      </c>
      <c r="AB283" s="987"/>
      <c r="AC283" s="987"/>
      <c r="AD283" s="1036"/>
      <c r="AE283" s="987"/>
      <c r="AF283" s="989"/>
      <c r="AG283" s="986"/>
      <c r="AH283" s="989">
        <f>(C283*C$6+D283*D$6+E283*E$6+F283*F$6+G283*G$6+H283*H$6+I283*I$6+J283*J$6+K283*K$6+L283*L$6+M283*M$6+N283*N$6+O283*O$6+P283*P$6+Q283*Q$6+R283*R$6+S283*S$6+T283*T$6+U283*U$6+V283*V$6+W283*W$6+X283*X$6+Y283*Y$6+Z283*Z$6)</f>
        <v>0</v>
      </c>
    </row>
    <row r="284" spans="1:34" s="646" customFormat="1" ht="15">
      <c r="A284" s="1041" t="s">
        <v>217</v>
      </c>
      <c r="B284" s="1039" t="s">
        <v>190</v>
      </c>
      <c r="C284" s="1038"/>
      <c r="D284" s="1039"/>
      <c r="E284" s="1038"/>
      <c r="F284" s="1038"/>
      <c r="G284" s="1038"/>
      <c r="H284" s="1038"/>
      <c r="I284" s="1038"/>
      <c r="J284" s="1038"/>
      <c r="K284" s="1038"/>
      <c r="L284" s="1040"/>
      <c r="M284" s="1040"/>
      <c r="N284" s="1040"/>
      <c r="O284" s="1040"/>
      <c r="P284" s="1038"/>
      <c r="Q284" s="1038"/>
      <c r="R284" s="1038"/>
      <c r="S284" s="1038">
        <v>1</v>
      </c>
      <c r="T284" s="1038"/>
      <c r="U284" s="1038"/>
      <c r="V284" s="1038"/>
      <c r="W284" s="1038"/>
      <c r="X284" s="1038"/>
      <c r="Y284" s="1038"/>
      <c r="Z284" s="1038"/>
      <c r="AA284" s="1038">
        <f>SUM(C284:Z284)</f>
        <v>1</v>
      </c>
      <c r="AB284" s="1038" t="s">
        <v>551</v>
      </c>
      <c r="AC284" s="1038" t="s">
        <v>68</v>
      </c>
      <c r="AD284" s="1041" t="s">
        <v>32</v>
      </c>
      <c r="AE284" s="1038">
        <v>1.6E-2</v>
      </c>
      <c r="AF284" s="1038">
        <v>0.02</v>
      </c>
      <c r="AG284" s="1038">
        <v>2.4E-2</v>
      </c>
      <c r="AH284" s="1043">
        <f>(C284*C$6+D284*D$6+E284*E$6+F284*F$6+G284*G$6+H284*H$6+I284*I$6+J284*J$6+K284*K$6+L284*L$6+M284*M$6+N284*N$6+O284*O$6+P284*P$6+Q284*Q$6+R284*R$6+S284*S$6+T284*T$6+U284*U$6+V284*V$6+W284*W$6+X284*X$6+Y284*Y$6+Z284*Z$6)</f>
        <v>260091</v>
      </c>
    </row>
    <row r="285" spans="1:34" s="646" customFormat="1" ht="15">
      <c r="A285" s="1041" t="s">
        <v>218</v>
      </c>
      <c r="B285" s="1039" t="s">
        <v>191</v>
      </c>
      <c r="C285" s="1038"/>
      <c r="D285" s="1039"/>
      <c r="E285" s="1038"/>
      <c r="F285" s="1038"/>
      <c r="G285" s="1038"/>
      <c r="H285" s="1038"/>
      <c r="I285" s="1038"/>
      <c r="J285" s="1038"/>
      <c r="K285" s="1038"/>
      <c r="L285" s="1040"/>
      <c r="M285" s="1040"/>
      <c r="N285" s="1040"/>
      <c r="O285" s="1040"/>
      <c r="P285" s="1038"/>
      <c r="Q285" s="1038"/>
      <c r="R285" s="1038"/>
      <c r="S285" s="1038">
        <v>1</v>
      </c>
      <c r="T285" s="1038"/>
      <c r="U285" s="1038"/>
      <c r="V285" s="1038"/>
      <c r="W285" s="1038"/>
      <c r="X285" s="1038"/>
      <c r="Y285" s="1038"/>
      <c r="Z285" s="1038"/>
      <c r="AA285" s="1038">
        <f>SUM(C285:Z285)</f>
        <v>1</v>
      </c>
      <c r="AB285" s="1038" t="s">
        <v>551</v>
      </c>
      <c r="AC285" s="1038" t="s">
        <v>68</v>
      </c>
      <c r="AD285" s="1041" t="s">
        <v>32</v>
      </c>
      <c r="AE285" s="1038">
        <v>8.0000000000000002E-3</v>
      </c>
      <c r="AF285" s="1038">
        <v>0.01</v>
      </c>
      <c r="AG285" s="1038">
        <v>1.2E-2</v>
      </c>
      <c r="AH285" s="1043">
        <f>(C285*C$6+D285*D$6+E285*E$6+F285*F$6+G285*G$6+H285*H$6+I285*I$6+J285*J$6+K285*K$6+L285*L$6+M285*M$6+N285*N$6+O285*O$6+P285*P$6+Q285*Q$6+R285*R$6+S285*S$6+T285*T$6+U285*U$6+V285*V$6+W285*W$6+X285*X$6+Y285*Y$6+Z285*Z$6)</f>
        <v>260091</v>
      </c>
    </row>
    <row r="286" spans="1:34" s="638" customFormat="1" ht="38.25">
      <c r="A286" s="1036" t="s">
        <v>159</v>
      </c>
      <c r="B286" s="986" t="s">
        <v>192</v>
      </c>
      <c r="C286" s="987"/>
      <c r="D286" s="986"/>
      <c r="E286" s="987"/>
      <c r="F286" s="987"/>
      <c r="G286" s="987"/>
      <c r="H286" s="987"/>
      <c r="I286" s="987"/>
      <c r="J286" s="987"/>
      <c r="K286" s="987"/>
      <c r="L286" s="988"/>
      <c r="M286" s="988"/>
      <c r="N286" s="988"/>
      <c r="O286" s="988"/>
      <c r="P286" s="987"/>
      <c r="Q286" s="987"/>
      <c r="R286" s="987"/>
      <c r="S286" s="987">
        <v>1</v>
      </c>
      <c r="T286" s="987"/>
      <c r="U286" s="987"/>
      <c r="V286" s="987"/>
      <c r="W286" s="987"/>
      <c r="X286" s="987"/>
      <c r="Y286" s="987"/>
      <c r="Z286" s="987"/>
      <c r="AA286" s="987">
        <f>SUM(C286:Z286)</f>
        <v>1</v>
      </c>
      <c r="AB286" s="987" t="s">
        <v>551</v>
      </c>
      <c r="AC286" s="987" t="s">
        <v>68</v>
      </c>
      <c r="AD286" s="1036" t="s">
        <v>32</v>
      </c>
      <c r="AE286" s="987">
        <v>4.0000000000000001E-3</v>
      </c>
      <c r="AF286" s="987">
        <v>5.0000000000000001E-3</v>
      </c>
      <c r="AG286" s="987">
        <v>6.0000000000000001E-3</v>
      </c>
      <c r="AH286" s="989">
        <f>(C286*C$6+D286*D$6+E286*E$6+F286*F$6+G286*G$6+H286*H$6+I286*I$6+J286*J$6+K286*K$6+L286*L$6+M286*M$6+N286*N$6+O286*O$6+P286*P$6+Q286*Q$6+R286*R$6+S286*S$6+T286*T$6+U286*U$6+V286*V$6+W286*W$6+X286*X$6+Y286*Y$6+Z286*Z$6)</f>
        <v>260091</v>
      </c>
    </row>
    <row r="287" spans="1:34" s="638" customFormat="1" ht="15">
      <c r="A287" s="1046">
        <v>6</v>
      </c>
      <c r="B287" s="1304" t="s">
        <v>591</v>
      </c>
      <c r="C287" s="987"/>
      <c r="D287" s="986"/>
      <c r="E287" s="987"/>
      <c r="F287" s="987"/>
      <c r="G287" s="987"/>
      <c r="H287" s="987"/>
      <c r="I287" s="987"/>
      <c r="J287" s="987"/>
      <c r="K287" s="987"/>
      <c r="L287" s="988"/>
      <c r="M287" s="988"/>
      <c r="N287" s="988"/>
      <c r="O287" s="988"/>
      <c r="P287" s="987"/>
      <c r="Q287" s="987"/>
      <c r="R287" s="987"/>
      <c r="S287" s="987"/>
      <c r="T287" s="987"/>
      <c r="U287" s="987"/>
      <c r="V287" s="987"/>
      <c r="W287" s="987"/>
      <c r="X287" s="987"/>
      <c r="Y287" s="987"/>
      <c r="Z287" s="987"/>
      <c r="AA287" s="987"/>
      <c r="AB287" s="987"/>
      <c r="AC287" s="987"/>
      <c r="AD287" s="1036"/>
      <c r="AE287" s="987"/>
      <c r="AF287" s="989"/>
      <c r="AG287" s="986"/>
      <c r="AH287" s="989"/>
    </row>
    <row r="288" spans="1:34" s="646" customFormat="1" ht="15">
      <c r="A288" s="1294">
        <v>6.1</v>
      </c>
      <c r="B288" s="1312" t="s">
        <v>153</v>
      </c>
      <c r="C288" s="1038"/>
      <c r="D288" s="1039"/>
      <c r="E288" s="1038"/>
      <c r="F288" s="1038"/>
      <c r="G288" s="1038"/>
      <c r="H288" s="1038"/>
      <c r="I288" s="1038"/>
      <c r="J288" s="1038"/>
      <c r="K288" s="1038"/>
      <c r="L288" s="1040"/>
      <c r="M288" s="1040"/>
      <c r="N288" s="1040"/>
      <c r="O288" s="1040"/>
      <c r="P288" s="1038"/>
      <c r="Q288" s="1038"/>
      <c r="R288" s="1038"/>
      <c r="S288" s="1038"/>
      <c r="T288" s="1038">
        <v>1</v>
      </c>
      <c r="U288" s="1038"/>
      <c r="V288" s="1038"/>
      <c r="W288" s="1038"/>
      <c r="X288" s="1038"/>
      <c r="Y288" s="1038"/>
      <c r="Z288" s="1038"/>
      <c r="AA288" s="1038">
        <f t="shared" si="21"/>
        <v>1</v>
      </c>
      <c r="AB288" s="1038" t="s">
        <v>53</v>
      </c>
      <c r="AC288" s="1038" t="s">
        <v>69</v>
      </c>
      <c r="AD288" s="1041" t="s">
        <v>32</v>
      </c>
      <c r="AE288" s="1038">
        <v>0.05</v>
      </c>
      <c r="AF288" s="1038">
        <v>0.05</v>
      </c>
      <c r="AG288" s="1038">
        <v>0.05</v>
      </c>
      <c r="AH288" s="1043">
        <f t="shared" si="22"/>
        <v>296770.5</v>
      </c>
    </row>
    <row r="289" spans="1:34" s="646" customFormat="1" ht="15">
      <c r="A289" s="1294">
        <v>6.2</v>
      </c>
      <c r="B289" s="1312" t="s">
        <v>155</v>
      </c>
      <c r="C289" s="1038"/>
      <c r="D289" s="1039"/>
      <c r="E289" s="1038"/>
      <c r="F289" s="1038"/>
      <c r="G289" s="1038"/>
      <c r="H289" s="1038"/>
      <c r="I289" s="1038"/>
      <c r="J289" s="1038"/>
      <c r="K289" s="1038"/>
      <c r="L289" s="1040"/>
      <c r="M289" s="1040"/>
      <c r="N289" s="1040"/>
      <c r="O289" s="1040"/>
      <c r="P289" s="1038"/>
      <c r="Q289" s="1038"/>
      <c r="R289" s="1038"/>
      <c r="S289" s="1038"/>
      <c r="T289" s="1038">
        <v>1</v>
      </c>
      <c r="U289" s="1038"/>
      <c r="V289" s="1038"/>
      <c r="W289" s="1038"/>
      <c r="X289" s="1038"/>
      <c r="Y289" s="1038"/>
      <c r="Z289" s="1038"/>
      <c r="AA289" s="1038">
        <f t="shared" si="21"/>
        <v>1</v>
      </c>
      <c r="AB289" s="1038" t="s">
        <v>53</v>
      </c>
      <c r="AC289" s="1038" t="s">
        <v>69</v>
      </c>
      <c r="AD289" s="1041" t="s">
        <v>32</v>
      </c>
      <c r="AE289" s="1038">
        <v>0.04</v>
      </c>
      <c r="AF289" s="1038">
        <v>0.04</v>
      </c>
      <c r="AG289" s="1038">
        <v>0.04</v>
      </c>
      <c r="AH289" s="1043">
        <f t="shared" si="22"/>
        <v>296770.5</v>
      </c>
    </row>
    <row r="290" spans="1:34" s="638" customFormat="1" ht="25.5">
      <c r="A290" s="1036" t="s">
        <v>161</v>
      </c>
      <c r="B290" s="986" t="s">
        <v>629</v>
      </c>
      <c r="C290" s="987"/>
      <c r="D290" s="986"/>
      <c r="E290" s="987"/>
      <c r="F290" s="987"/>
      <c r="G290" s="987"/>
      <c r="H290" s="987"/>
      <c r="I290" s="987"/>
      <c r="J290" s="987"/>
      <c r="K290" s="987"/>
      <c r="L290" s="988"/>
      <c r="M290" s="988"/>
      <c r="N290" s="988"/>
      <c r="O290" s="988"/>
      <c r="P290" s="987"/>
      <c r="Q290" s="987"/>
      <c r="R290" s="987"/>
      <c r="S290" s="987"/>
      <c r="T290" s="987"/>
      <c r="U290" s="987"/>
      <c r="V290" s="987"/>
      <c r="W290" s="987"/>
      <c r="X290" s="987"/>
      <c r="Y290" s="987"/>
      <c r="Z290" s="987"/>
      <c r="AA290" s="987"/>
      <c r="AB290" s="987"/>
      <c r="AC290" s="987"/>
      <c r="AD290" s="1036"/>
      <c r="AE290" s="987"/>
      <c r="AF290" s="989"/>
      <c r="AG290" s="986"/>
      <c r="AH290" s="989"/>
    </row>
    <row r="291" spans="1:34" s="638" customFormat="1" ht="15">
      <c r="A291" s="1036" t="s">
        <v>174</v>
      </c>
      <c r="B291" s="986" t="s">
        <v>682</v>
      </c>
      <c r="C291" s="987"/>
      <c r="D291" s="986"/>
      <c r="E291" s="987"/>
      <c r="F291" s="987"/>
      <c r="G291" s="987"/>
      <c r="H291" s="987"/>
      <c r="I291" s="987"/>
      <c r="J291" s="987"/>
      <c r="K291" s="987"/>
      <c r="L291" s="988"/>
      <c r="M291" s="988"/>
      <c r="N291" s="988"/>
      <c r="O291" s="988"/>
      <c r="P291" s="987"/>
      <c r="Q291" s="987"/>
      <c r="R291" s="987"/>
      <c r="S291" s="987"/>
      <c r="T291" s="987"/>
      <c r="U291" s="987"/>
      <c r="V291" s="987"/>
      <c r="W291" s="987"/>
      <c r="X291" s="987"/>
      <c r="Y291" s="987"/>
      <c r="Z291" s="987"/>
      <c r="AA291" s="987"/>
      <c r="AB291" s="987"/>
      <c r="AC291" s="987"/>
      <c r="AD291" s="1036"/>
      <c r="AE291" s="987"/>
      <c r="AF291" s="989"/>
      <c r="AG291" s="986"/>
      <c r="AH291" s="989"/>
    </row>
    <row r="292" spans="1:34" s="646" customFormat="1" ht="63.75">
      <c r="A292" s="1294" t="s">
        <v>680</v>
      </c>
      <c r="B292" s="1312" t="s">
        <v>588</v>
      </c>
      <c r="C292" s="1038"/>
      <c r="D292" s="1039"/>
      <c r="E292" s="1038"/>
      <c r="F292" s="1038"/>
      <c r="G292" s="1038"/>
      <c r="H292" s="1038"/>
      <c r="I292" s="1038"/>
      <c r="J292" s="1038"/>
      <c r="K292" s="1038"/>
      <c r="L292" s="1040"/>
      <c r="M292" s="1040"/>
      <c r="N292" s="1040"/>
      <c r="O292" s="1040"/>
      <c r="P292" s="1038"/>
      <c r="Q292" s="1038"/>
      <c r="R292" s="1038"/>
      <c r="S292" s="1038"/>
      <c r="T292" s="1038"/>
      <c r="U292" s="1038">
        <v>1</v>
      </c>
      <c r="V292" s="1038"/>
      <c r="W292" s="1038"/>
      <c r="X292" s="1038"/>
      <c r="Y292" s="1038"/>
      <c r="Z292" s="1038"/>
      <c r="AA292" s="1038">
        <f t="shared" si="21"/>
        <v>1</v>
      </c>
      <c r="AB292" s="1038" t="s">
        <v>53</v>
      </c>
      <c r="AC292" s="1294" t="s">
        <v>106</v>
      </c>
      <c r="AD292" s="1041" t="s">
        <v>32</v>
      </c>
      <c r="AE292" s="1294">
        <v>0.1</v>
      </c>
      <c r="AF292" s="1294">
        <v>0.1</v>
      </c>
      <c r="AG292" s="1294">
        <v>0.1</v>
      </c>
      <c r="AH292" s="1043">
        <f t="shared" si="22"/>
        <v>333450</v>
      </c>
    </row>
    <row r="293" spans="1:34" s="646" customFormat="1" ht="63.75">
      <c r="A293" s="1294" t="s">
        <v>681</v>
      </c>
      <c r="B293" s="1312" t="s">
        <v>589</v>
      </c>
      <c r="C293" s="1038"/>
      <c r="D293" s="1039"/>
      <c r="E293" s="1038"/>
      <c r="F293" s="1038"/>
      <c r="G293" s="1038"/>
      <c r="H293" s="1038"/>
      <c r="I293" s="1038"/>
      <c r="J293" s="1038">
        <v>1</v>
      </c>
      <c r="K293" s="1038"/>
      <c r="L293" s="1040"/>
      <c r="M293" s="1040"/>
      <c r="N293" s="1040"/>
      <c r="O293" s="1040"/>
      <c r="P293" s="1038"/>
      <c r="Q293" s="1038"/>
      <c r="R293" s="1038"/>
      <c r="S293" s="1038"/>
      <c r="T293" s="1038">
        <v>1</v>
      </c>
      <c r="U293" s="1038"/>
      <c r="V293" s="1038"/>
      <c r="W293" s="1038"/>
      <c r="X293" s="1038"/>
      <c r="Y293" s="1038"/>
      <c r="Z293" s="1038"/>
      <c r="AA293" s="1038">
        <f t="shared" si="21"/>
        <v>2</v>
      </c>
      <c r="AB293" s="1038" t="s">
        <v>53</v>
      </c>
      <c r="AC293" s="1294" t="s">
        <v>590</v>
      </c>
      <c r="AD293" s="1041" t="s">
        <v>32</v>
      </c>
      <c r="AE293" s="1294">
        <v>0.5</v>
      </c>
      <c r="AF293" s="1294">
        <v>0.5</v>
      </c>
      <c r="AG293" s="1294">
        <v>0.7</v>
      </c>
      <c r="AH293" s="1043">
        <f t="shared" si="22"/>
        <v>570199.5</v>
      </c>
    </row>
    <row r="294" spans="1:34" s="566" customFormat="1" ht="21" customHeight="1">
      <c r="A294" s="910">
        <v>7.2</v>
      </c>
      <c r="B294" s="911" t="s">
        <v>683</v>
      </c>
      <c r="C294" s="944"/>
      <c r="D294" s="945"/>
      <c r="E294" s="944"/>
      <c r="F294" s="944"/>
      <c r="G294" s="944"/>
      <c r="H294" s="944"/>
      <c r="I294" s="944"/>
      <c r="J294" s="944"/>
      <c r="K294" s="944"/>
      <c r="L294" s="947"/>
      <c r="M294" s="947"/>
      <c r="N294" s="947"/>
      <c r="O294" s="947"/>
      <c r="P294" s="944"/>
      <c r="Q294" s="944"/>
      <c r="R294" s="944"/>
      <c r="S294" s="944"/>
      <c r="T294" s="944"/>
      <c r="U294" s="944"/>
      <c r="V294" s="944"/>
      <c r="W294" s="944"/>
      <c r="X294" s="944"/>
      <c r="Y294" s="944"/>
      <c r="Z294" s="944"/>
      <c r="AA294" s="944"/>
      <c r="AB294" s="944"/>
      <c r="AC294" s="910"/>
      <c r="AD294" s="940"/>
      <c r="AE294" s="910"/>
      <c r="AF294" s="910"/>
      <c r="AG294" s="910"/>
      <c r="AH294" s="948"/>
    </row>
    <row r="295" spans="1:34" s="646" customFormat="1" ht="38.25">
      <c r="A295" s="1294" t="s">
        <v>684</v>
      </c>
      <c r="B295" s="1312" t="s">
        <v>592</v>
      </c>
      <c r="C295" s="1038"/>
      <c r="D295" s="1039"/>
      <c r="E295" s="1038"/>
      <c r="F295" s="1038"/>
      <c r="G295" s="1038"/>
      <c r="H295" s="1038"/>
      <c r="I295" s="1038"/>
      <c r="J295" s="1038"/>
      <c r="K295" s="1038"/>
      <c r="L295" s="1040"/>
      <c r="M295" s="1040"/>
      <c r="N295" s="1040"/>
      <c r="O295" s="1040"/>
      <c r="P295" s="1038"/>
      <c r="Q295" s="1038"/>
      <c r="R295" s="1038"/>
      <c r="S295" s="1038"/>
      <c r="T295" s="1038"/>
      <c r="U295" s="1038">
        <v>1</v>
      </c>
      <c r="V295" s="1038"/>
      <c r="W295" s="1038"/>
      <c r="X295" s="1038"/>
      <c r="Y295" s="1038"/>
      <c r="Z295" s="1038"/>
      <c r="AA295" s="1038">
        <f t="shared" si="21"/>
        <v>1</v>
      </c>
      <c r="AB295" s="1038" t="s">
        <v>53</v>
      </c>
      <c r="AC295" s="1294" t="s">
        <v>106</v>
      </c>
      <c r="AD295" s="1041" t="s">
        <v>32</v>
      </c>
      <c r="AE295" s="1325">
        <v>0.5</v>
      </c>
      <c r="AF295" s="1325">
        <v>0.5</v>
      </c>
      <c r="AG295" s="1325">
        <v>0.65</v>
      </c>
      <c r="AH295" s="1043">
        <f t="shared" si="22"/>
        <v>333450</v>
      </c>
    </row>
    <row r="296" spans="1:34" s="646" customFormat="1" ht="51">
      <c r="A296" s="1294" t="s">
        <v>685</v>
      </c>
      <c r="B296" s="1312" t="s">
        <v>725</v>
      </c>
      <c r="C296" s="1038"/>
      <c r="D296" s="1039"/>
      <c r="E296" s="1038"/>
      <c r="F296" s="1038"/>
      <c r="G296" s="1038"/>
      <c r="H296" s="1038"/>
      <c r="I296" s="1038"/>
      <c r="J296" s="1038"/>
      <c r="K296" s="1038"/>
      <c r="L296" s="1040"/>
      <c r="M296" s="1040"/>
      <c r="N296" s="1040"/>
      <c r="O296" s="1040"/>
      <c r="P296" s="1038"/>
      <c r="Q296" s="1038"/>
      <c r="R296" s="1038"/>
      <c r="S296" s="1038"/>
      <c r="T296" s="1038">
        <v>1</v>
      </c>
      <c r="U296" s="1038"/>
      <c r="V296" s="1038"/>
      <c r="W296" s="1038"/>
      <c r="X296" s="1038"/>
      <c r="Y296" s="1038"/>
      <c r="Z296" s="1038"/>
      <c r="AA296" s="1038">
        <f t="shared" si="21"/>
        <v>1</v>
      </c>
      <c r="AB296" s="1038" t="s">
        <v>53</v>
      </c>
      <c r="AC296" s="1294" t="s">
        <v>69</v>
      </c>
      <c r="AD296" s="1041" t="s">
        <v>32</v>
      </c>
      <c r="AE296" s="1325">
        <v>0.15</v>
      </c>
      <c r="AF296" s="1325">
        <v>0.15</v>
      </c>
      <c r="AG296" s="1325">
        <v>0.19500000000000001</v>
      </c>
      <c r="AH296" s="1043">
        <f t="shared" si="22"/>
        <v>296770.5</v>
      </c>
    </row>
    <row r="297" spans="1:34" s="638" customFormat="1" ht="63.75">
      <c r="A297" s="1046">
        <v>8</v>
      </c>
      <c r="B297" s="1304" t="s">
        <v>726</v>
      </c>
      <c r="C297" s="1046"/>
      <c r="D297" s="1045"/>
      <c r="E297" s="1046"/>
      <c r="F297" s="1046"/>
      <c r="G297" s="1046"/>
      <c r="H297" s="1046"/>
      <c r="I297" s="1046"/>
      <c r="J297" s="1046">
        <v>1</v>
      </c>
      <c r="K297" s="1046"/>
      <c r="L297" s="1047"/>
      <c r="M297" s="1047"/>
      <c r="N297" s="1047"/>
      <c r="O297" s="1047"/>
      <c r="P297" s="1046"/>
      <c r="Q297" s="1046"/>
      <c r="R297" s="1046"/>
      <c r="S297" s="1046"/>
      <c r="T297" s="1046"/>
      <c r="U297" s="1046"/>
      <c r="V297" s="1046"/>
      <c r="W297" s="1046"/>
      <c r="X297" s="1046"/>
      <c r="Y297" s="1046"/>
      <c r="Z297" s="1046"/>
      <c r="AA297" s="1046">
        <f>SUM(C297:Z297)</f>
        <v>1</v>
      </c>
      <c r="AB297" s="987" t="s">
        <v>53</v>
      </c>
      <c r="AC297" s="1046" t="s">
        <v>108</v>
      </c>
      <c r="AD297" s="1036" t="s">
        <v>32</v>
      </c>
      <c r="AE297" s="1048">
        <v>0.06</v>
      </c>
      <c r="AF297" s="1048">
        <v>0.06</v>
      </c>
      <c r="AG297" s="1048">
        <v>7.8E-2</v>
      </c>
      <c r="AH297" s="989">
        <f>(C297*C$6+D297*D$6+E297*E$6+F297*F$6+G297*G$6+H297*H$6+I297*I$6+J297*J$6+K297*K$6+L297*L$6+M297*M$6+N297*N$6+O297*O$6+P297*P$6+Q297*Q$6+R297*R$6+S297*S$6+T297*T$6+U297*U$6+V297*V$6+W297*W$6+X297*X$6+Y297*Y$6+Z297*Z$6)</f>
        <v>273429.00000000006</v>
      </c>
    </row>
    <row r="298" spans="1:34" s="638" customFormat="1" ht="25.5">
      <c r="A298" s="1046">
        <v>9</v>
      </c>
      <c r="B298" s="1304" t="s">
        <v>597</v>
      </c>
      <c r="C298" s="1046"/>
      <c r="D298" s="1045"/>
      <c r="E298" s="1046"/>
      <c r="F298" s="1046"/>
      <c r="G298" s="1046"/>
      <c r="H298" s="1046"/>
      <c r="I298" s="1046"/>
      <c r="J298" s="1046"/>
      <c r="K298" s="1046"/>
      <c r="L298" s="1047"/>
      <c r="M298" s="1047"/>
      <c r="N298" s="1047"/>
      <c r="O298" s="1047"/>
      <c r="P298" s="1046"/>
      <c r="Q298" s="1046"/>
      <c r="R298" s="1046"/>
      <c r="S298" s="1046"/>
      <c r="T298" s="1046"/>
      <c r="U298" s="1046">
        <v>1</v>
      </c>
      <c r="V298" s="1046"/>
      <c r="W298" s="1046"/>
      <c r="X298" s="1046"/>
      <c r="Y298" s="1046"/>
      <c r="Z298" s="1046"/>
      <c r="AA298" s="1046">
        <f>SUM(C298:Z298)</f>
        <v>1</v>
      </c>
      <c r="AB298" s="987" t="s">
        <v>53</v>
      </c>
      <c r="AC298" s="1046" t="s">
        <v>106</v>
      </c>
      <c r="AD298" s="1036" t="s">
        <v>32</v>
      </c>
      <c r="AE298" s="1047">
        <v>0.5</v>
      </c>
      <c r="AF298" s="1047">
        <v>0.5</v>
      </c>
      <c r="AG298" s="1047">
        <v>0.65</v>
      </c>
      <c r="AH298" s="989">
        <f>(C298*C$6+D298*D$6+E298*E$6+F298*F$6+G298*G$6+H298*H$6+I298*I$6+J298*J$6+K298*K$6+L298*L$6+M298*M$6+N298*N$6+O298*O$6+P298*P$6+Q298*Q$6+R298*R$6+S298*S$6+T298*T$6+U298*U$6+V298*V$6+W298*W$6+X298*X$6+Y298*Y$6+Z298*Z$6)</f>
        <v>333450</v>
      </c>
    </row>
    <row r="299" spans="1:34" s="638" customFormat="1" ht="63.75">
      <c r="A299" s="1046">
        <v>10</v>
      </c>
      <c r="B299" s="1304" t="s">
        <v>686</v>
      </c>
      <c r="C299" s="1046"/>
      <c r="D299" s="1045"/>
      <c r="E299" s="1046"/>
      <c r="F299" s="1046"/>
      <c r="G299" s="1046"/>
      <c r="H299" s="1046"/>
      <c r="I299" s="1046"/>
      <c r="J299" s="1046"/>
      <c r="K299" s="1046"/>
      <c r="L299" s="1047"/>
      <c r="M299" s="1047"/>
      <c r="N299" s="1047"/>
      <c r="O299" s="1047"/>
      <c r="P299" s="1046"/>
      <c r="Q299" s="1046"/>
      <c r="R299" s="1046"/>
      <c r="S299" s="1046"/>
      <c r="T299" s="1046">
        <v>1</v>
      </c>
      <c r="U299" s="1046"/>
      <c r="V299" s="1046"/>
      <c r="W299" s="1046"/>
      <c r="X299" s="1046"/>
      <c r="Y299" s="1046"/>
      <c r="Z299" s="1046"/>
      <c r="AA299" s="1046">
        <f>SUM(C299:Z299)</f>
        <v>1</v>
      </c>
      <c r="AB299" s="987" t="s">
        <v>53</v>
      </c>
      <c r="AC299" s="987" t="s">
        <v>69</v>
      </c>
      <c r="AD299" s="1036" t="s">
        <v>32</v>
      </c>
      <c r="AE299" s="1047">
        <v>0.15</v>
      </c>
      <c r="AF299" s="1047">
        <v>0.15</v>
      </c>
      <c r="AG299" s="1048">
        <v>0.19500000000000001</v>
      </c>
      <c r="AH299" s="989">
        <f>(C299*C$6+D299*D$6+E299*E$6+F299*F$6+G299*G$6+H299*H$6+I299*I$6+J299*J$6+K299*K$6+L299*L$6+M299*M$6+N299*N$6+O299*O$6+P299*P$6+Q299*Q$6+R299*R$6+S299*S$6+T299*T$6+U299*U$6+V299*V$6+W299*W$6+X299*X$6+Y299*Y$6+Z299*Z$6)</f>
        <v>296770.5</v>
      </c>
    </row>
    <row r="300" spans="1:34" s="638" customFormat="1" ht="25.5">
      <c r="A300" s="1036" t="s">
        <v>38</v>
      </c>
      <c r="B300" s="986" t="s">
        <v>728</v>
      </c>
      <c r="C300" s="987"/>
      <c r="D300" s="986"/>
      <c r="E300" s="987"/>
      <c r="F300" s="987"/>
      <c r="G300" s="987"/>
      <c r="H300" s="987"/>
      <c r="I300" s="987"/>
      <c r="J300" s="987"/>
      <c r="K300" s="987"/>
      <c r="L300" s="988"/>
      <c r="M300" s="988"/>
      <c r="N300" s="988"/>
      <c r="O300" s="988"/>
      <c r="P300" s="987"/>
      <c r="Q300" s="987"/>
      <c r="R300" s="987"/>
      <c r="S300" s="987"/>
      <c r="T300" s="987"/>
      <c r="U300" s="987">
        <v>1</v>
      </c>
      <c r="V300" s="987"/>
      <c r="W300" s="987"/>
      <c r="X300" s="987"/>
      <c r="Y300" s="987"/>
      <c r="Z300" s="987"/>
      <c r="AA300" s="987">
        <f t="shared" si="21"/>
        <v>1</v>
      </c>
      <c r="AB300" s="987" t="s">
        <v>1</v>
      </c>
      <c r="AC300" s="987" t="s">
        <v>106</v>
      </c>
      <c r="AD300" s="1036" t="s">
        <v>32</v>
      </c>
      <c r="AE300" s="987">
        <v>6.0000000000000001E-3</v>
      </c>
      <c r="AF300" s="1326">
        <v>6.0000000000000001E-3</v>
      </c>
      <c r="AG300" s="1048">
        <v>6.0000000000000001E-3</v>
      </c>
      <c r="AH300" s="989">
        <f t="shared" si="22"/>
        <v>333450</v>
      </c>
    </row>
    <row r="301" spans="1:34" s="638" customFormat="1" ht="25.5">
      <c r="A301" s="1036" t="s">
        <v>184</v>
      </c>
      <c r="B301" s="986" t="s">
        <v>729</v>
      </c>
      <c r="C301" s="987"/>
      <c r="D301" s="986"/>
      <c r="E301" s="987"/>
      <c r="F301" s="987"/>
      <c r="G301" s="987"/>
      <c r="H301" s="987"/>
      <c r="I301" s="987"/>
      <c r="J301" s="987"/>
      <c r="K301" s="987"/>
      <c r="L301" s="988"/>
      <c r="M301" s="988"/>
      <c r="N301" s="988"/>
      <c r="O301" s="988"/>
      <c r="P301" s="987"/>
      <c r="Q301" s="987"/>
      <c r="R301" s="987"/>
      <c r="S301" s="987"/>
      <c r="T301" s="987"/>
      <c r="U301" s="987"/>
      <c r="V301" s="987"/>
      <c r="W301" s="987"/>
      <c r="X301" s="987"/>
      <c r="Y301" s="987"/>
      <c r="Z301" s="987"/>
      <c r="AA301" s="987">
        <f t="shared" si="21"/>
        <v>0</v>
      </c>
      <c r="AB301" s="987"/>
      <c r="AC301" s="987"/>
      <c r="AD301" s="1036"/>
      <c r="AE301" s="987"/>
      <c r="AF301" s="989"/>
      <c r="AG301" s="986"/>
      <c r="AH301" s="989">
        <f t="shared" si="22"/>
        <v>0</v>
      </c>
    </row>
    <row r="302" spans="1:34" s="646" customFormat="1" ht="15">
      <c r="A302" s="1041" t="s">
        <v>224</v>
      </c>
      <c r="B302" s="1039" t="s">
        <v>168</v>
      </c>
      <c r="C302" s="1038"/>
      <c r="D302" s="1039"/>
      <c r="E302" s="1038"/>
      <c r="F302" s="1038"/>
      <c r="G302" s="987"/>
      <c r="H302" s="987"/>
      <c r="I302" s="987"/>
      <c r="J302" s="987"/>
      <c r="K302" s="987"/>
      <c r="L302" s="988"/>
      <c r="M302" s="988"/>
      <c r="N302" s="988"/>
      <c r="O302" s="988"/>
      <c r="P302" s="987"/>
      <c r="Q302" s="987"/>
      <c r="R302" s="987"/>
      <c r="S302" s="987"/>
      <c r="T302" s="987">
        <v>1</v>
      </c>
      <c r="U302" s="987"/>
      <c r="V302" s="987"/>
      <c r="W302" s="987"/>
      <c r="X302" s="987"/>
      <c r="Y302" s="987"/>
      <c r="Z302" s="987"/>
      <c r="AA302" s="987">
        <f t="shared" si="21"/>
        <v>1</v>
      </c>
      <c r="AB302" s="987" t="s">
        <v>53</v>
      </c>
      <c r="AC302" s="987" t="s">
        <v>69</v>
      </c>
      <c r="AD302" s="1036" t="s">
        <v>32</v>
      </c>
      <c r="AE302" s="990">
        <v>0.05</v>
      </c>
      <c r="AF302" s="1322">
        <v>0</v>
      </c>
      <c r="AG302" s="1322">
        <v>0.05</v>
      </c>
      <c r="AH302" s="989">
        <f t="shared" si="22"/>
        <v>296770.5</v>
      </c>
    </row>
    <row r="303" spans="1:34" s="1323" customFormat="1" ht="15">
      <c r="A303" s="1041" t="s">
        <v>225</v>
      </c>
      <c r="B303" s="1039" t="s">
        <v>169</v>
      </c>
      <c r="C303" s="1038"/>
      <c r="D303" s="1039"/>
      <c r="E303" s="1038"/>
      <c r="F303" s="1038"/>
      <c r="G303" s="987"/>
      <c r="H303" s="987"/>
      <c r="I303" s="987"/>
      <c r="J303" s="987"/>
      <c r="K303" s="987"/>
      <c r="L303" s="988"/>
      <c r="M303" s="988"/>
      <c r="N303" s="988"/>
      <c r="O303" s="988"/>
      <c r="P303" s="987"/>
      <c r="Q303" s="987"/>
      <c r="R303" s="987"/>
      <c r="S303" s="987"/>
      <c r="T303" s="987">
        <v>1</v>
      </c>
      <c r="U303" s="987"/>
      <c r="V303" s="987"/>
      <c r="W303" s="987"/>
      <c r="X303" s="987"/>
      <c r="Y303" s="987"/>
      <c r="Z303" s="987"/>
      <c r="AA303" s="987">
        <f t="shared" si="21"/>
        <v>1</v>
      </c>
      <c r="AB303" s="987" t="s">
        <v>53</v>
      </c>
      <c r="AC303" s="987" t="s">
        <v>69</v>
      </c>
      <c r="AD303" s="1036" t="s">
        <v>32</v>
      </c>
      <c r="AE303" s="990">
        <v>0.1</v>
      </c>
      <c r="AF303" s="1322">
        <v>0</v>
      </c>
      <c r="AG303" s="1322">
        <v>0.1</v>
      </c>
      <c r="AH303" s="989">
        <f t="shared" si="22"/>
        <v>296770.5</v>
      </c>
    </row>
    <row r="304" spans="1:34" s="1323" customFormat="1" ht="25.5">
      <c r="A304" s="1046">
        <v>13</v>
      </c>
      <c r="B304" s="1304" t="s">
        <v>593</v>
      </c>
      <c r="C304" s="1038"/>
      <c r="D304" s="1039"/>
      <c r="E304" s="1038"/>
      <c r="F304" s="1038"/>
      <c r="G304" s="987"/>
      <c r="H304" s="987"/>
      <c r="I304" s="987"/>
      <c r="J304" s="987"/>
      <c r="K304" s="987"/>
      <c r="L304" s="988"/>
      <c r="M304" s="988"/>
      <c r="N304" s="988"/>
      <c r="O304" s="988"/>
      <c r="P304" s="987"/>
      <c r="Q304" s="987"/>
      <c r="R304" s="987"/>
      <c r="S304" s="987"/>
      <c r="T304" s="987"/>
      <c r="U304" s="987"/>
      <c r="V304" s="987"/>
      <c r="W304" s="987"/>
      <c r="X304" s="987"/>
      <c r="Y304" s="987"/>
      <c r="Z304" s="987"/>
      <c r="AA304" s="987"/>
      <c r="AB304" s="987"/>
      <c r="AC304" s="1327"/>
      <c r="AD304" s="1036"/>
      <c r="AE304" s="1327"/>
      <c r="AF304" s="1327"/>
      <c r="AG304" s="1327"/>
      <c r="AH304" s="989"/>
    </row>
    <row r="305" spans="1:34" s="1323" customFormat="1" ht="15">
      <c r="A305" s="1294">
        <v>13.1</v>
      </c>
      <c r="B305" s="1312" t="s">
        <v>594</v>
      </c>
      <c r="C305" s="1038"/>
      <c r="D305" s="1039"/>
      <c r="E305" s="1038"/>
      <c r="F305" s="1038"/>
      <c r="G305" s="1038"/>
      <c r="H305" s="1038"/>
      <c r="I305" s="1038"/>
      <c r="J305" s="1038"/>
      <c r="K305" s="1038"/>
      <c r="L305" s="1040"/>
      <c r="M305" s="1040"/>
      <c r="N305" s="1040"/>
      <c r="O305" s="1040"/>
      <c r="P305" s="1038"/>
      <c r="Q305" s="1038"/>
      <c r="R305" s="1038"/>
      <c r="S305" s="1038"/>
      <c r="T305" s="1038"/>
      <c r="U305" s="1038">
        <v>1</v>
      </c>
      <c r="V305" s="1038"/>
      <c r="W305" s="1038"/>
      <c r="X305" s="1038"/>
      <c r="Y305" s="1038"/>
      <c r="Z305" s="1038"/>
      <c r="AA305" s="1038">
        <f t="shared" si="21"/>
        <v>1</v>
      </c>
      <c r="AB305" s="1038" t="s">
        <v>53</v>
      </c>
      <c r="AC305" s="1294" t="s">
        <v>106</v>
      </c>
      <c r="AD305" s="1041" t="s">
        <v>32</v>
      </c>
      <c r="AE305" s="1325">
        <v>0.1</v>
      </c>
      <c r="AF305" s="1325">
        <v>0.1</v>
      </c>
      <c r="AG305" s="1325">
        <v>0.13</v>
      </c>
      <c r="AH305" s="1043">
        <f t="shared" si="22"/>
        <v>333450</v>
      </c>
    </row>
    <row r="306" spans="1:34" s="1323" customFormat="1" ht="15">
      <c r="A306" s="1294">
        <v>13.2</v>
      </c>
      <c r="B306" s="1312" t="s">
        <v>595</v>
      </c>
      <c r="C306" s="1038"/>
      <c r="D306" s="1039"/>
      <c r="E306" s="1038"/>
      <c r="F306" s="1038"/>
      <c r="G306" s="1038"/>
      <c r="H306" s="1038"/>
      <c r="I306" s="1038"/>
      <c r="J306" s="1038"/>
      <c r="K306" s="1038"/>
      <c r="L306" s="1040"/>
      <c r="M306" s="1040"/>
      <c r="N306" s="1040"/>
      <c r="O306" s="1040"/>
      <c r="P306" s="1038"/>
      <c r="Q306" s="1038"/>
      <c r="R306" s="1038"/>
      <c r="S306" s="1038"/>
      <c r="T306" s="1038"/>
      <c r="U306" s="1038">
        <v>1</v>
      </c>
      <c r="V306" s="1038"/>
      <c r="W306" s="1038"/>
      <c r="X306" s="1038"/>
      <c r="Y306" s="1038"/>
      <c r="Z306" s="1038"/>
      <c r="AA306" s="1038">
        <f t="shared" si="21"/>
        <v>1</v>
      </c>
      <c r="AB306" s="1038" t="s">
        <v>53</v>
      </c>
      <c r="AC306" s="1294" t="s">
        <v>106</v>
      </c>
      <c r="AD306" s="1041" t="s">
        <v>32</v>
      </c>
      <c r="AE306" s="1325">
        <v>0.2</v>
      </c>
      <c r="AF306" s="1325">
        <v>0.2</v>
      </c>
      <c r="AG306" s="1325">
        <v>0.26</v>
      </c>
      <c r="AH306" s="1043">
        <f t="shared" si="22"/>
        <v>333450</v>
      </c>
    </row>
    <row r="307" spans="1:34" s="1323" customFormat="1" ht="25.5">
      <c r="A307" s="1046">
        <v>14</v>
      </c>
      <c r="B307" s="1304" t="s">
        <v>596</v>
      </c>
      <c r="C307" s="1038"/>
      <c r="D307" s="1039"/>
      <c r="E307" s="1038"/>
      <c r="F307" s="1038"/>
      <c r="G307" s="987"/>
      <c r="H307" s="987"/>
      <c r="I307" s="987"/>
      <c r="J307" s="987"/>
      <c r="K307" s="987"/>
      <c r="L307" s="988"/>
      <c r="M307" s="988"/>
      <c r="N307" s="988"/>
      <c r="O307" s="988"/>
      <c r="P307" s="987"/>
      <c r="Q307" s="987"/>
      <c r="R307" s="987"/>
      <c r="S307" s="987"/>
      <c r="T307" s="987"/>
      <c r="U307" s="987"/>
      <c r="V307" s="987"/>
      <c r="W307" s="987"/>
      <c r="X307" s="987"/>
      <c r="Y307" s="987"/>
      <c r="Z307" s="987"/>
      <c r="AA307" s="987"/>
      <c r="AB307" s="987"/>
      <c r="AC307" s="1327"/>
      <c r="AD307" s="1036"/>
      <c r="AE307" s="1327"/>
      <c r="AF307" s="1327"/>
      <c r="AG307" s="1327"/>
      <c r="AH307" s="989"/>
    </row>
    <row r="308" spans="1:34" s="1323" customFormat="1" ht="15">
      <c r="A308" s="1294">
        <v>14.1</v>
      </c>
      <c r="B308" s="1312" t="s">
        <v>594</v>
      </c>
      <c r="C308" s="1038"/>
      <c r="D308" s="1039"/>
      <c r="E308" s="1038"/>
      <c r="F308" s="1038"/>
      <c r="G308" s="1038"/>
      <c r="H308" s="1038"/>
      <c r="I308" s="1038"/>
      <c r="J308" s="1038"/>
      <c r="K308" s="1038"/>
      <c r="L308" s="1040"/>
      <c r="M308" s="1040"/>
      <c r="N308" s="1040"/>
      <c r="O308" s="1040"/>
      <c r="P308" s="1038"/>
      <c r="Q308" s="1038"/>
      <c r="R308" s="1038"/>
      <c r="S308" s="1038"/>
      <c r="T308" s="1038">
        <v>1</v>
      </c>
      <c r="U308" s="1038"/>
      <c r="V308" s="1038"/>
      <c r="W308" s="1038"/>
      <c r="X308" s="1038"/>
      <c r="Y308" s="1038"/>
      <c r="Z308" s="1038"/>
      <c r="AA308" s="1038">
        <f t="shared" si="21"/>
        <v>1</v>
      </c>
      <c r="AB308" s="1038" t="s">
        <v>53</v>
      </c>
      <c r="AC308" s="1294" t="s">
        <v>69</v>
      </c>
      <c r="AD308" s="1041" t="s">
        <v>32</v>
      </c>
      <c r="AE308" s="1294">
        <v>0.04</v>
      </c>
      <c r="AF308" s="1294">
        <v>0.04</v>
      </c>
      <c r="AG308" s="1294">
        <v>0.04</v>
      </c>
      <c r="AH308" s="1043">
        <f t="shared" si="22"/>
        <v>296770.5</v>
      </c>
    </row>
    <row r="309" spans="1:34" s="1323" customFormat="1" ht="15">
      <c r="A309" s="1294">
        <v>14.2</v>
      </c>
      <c r="B309" s="1312" t="s">
        <v>595</v>
      </c>
      <c r="C309" s="1038"/>
      <c r="D309" s="1039"/>
      <c r="E309" s="1038"/>
      <c r="F309" s="1038"/>
      <c r="G309" s="1038"/>
      <c r="H309" s="1038"/>
      <c r="I309" s="1038"/>
      <c r="J309" s="1038"/>
      <c r="K309" s="1038"/>
      <c r="L309" s="1040"/>
      <c r="M309" s="1040"/>
      <c r="N309" s="1040"/>
      <c r="O309" s="1040"/>
      <c r="P309" s="1038"/>
      <c r="Q309" s="1038"/>
      <c r="R309" s="1038"/>
      <c r="S309" s="1038"/>
      <c r="T309" s="1038">
        <v>1</v>
      </c>
      <c r="U309" s="1038"/>
      <c r="V309" s="1038"/>
      <c r="W309" s="1038"/>
      <c r="X309" s="1038"/>
      <c r="Y309" s="1038"/>
      <c r="Z309" s="1038"/>
      <c r="AA309" s="1038">
        <f t="shared" si="21"/>
        <v>1</v>
      </c>
      <c r="AB309" s="1038" t="s">
        <v>53</v>
      </c>
      <c r="AC309" s="1294" t="s">
        <v>69</v>
      </c>
      <c r="AD309" s="1041" t="s">
        <v>32</v>
      </c>
      <c r="AE309" s="1294">
        <v>0.03</v>
      </c>
      <c r="AF309" s="1294">
        <v>0.03</v>
      </c>
      <c r="AG309" s="1294">
        <v>0.03</v>
      </c>
      <c r="AH309" s="1043">
        <f t="shared" si="22"/>
        <v>296770.5</v>
      </c>
    </row>
    <row r="310" spans="1:34" s="638" customFormat="1" ht="25.5">
      <c r="A310" s="1036" t="s">
        <v>194</v>
      </c>
      <c r="B310" s="986" t="s">
        <v>230</v>
      </c>
      <c r="C310" s="987"/>
      <c r="D310" s="986"/>
      <c r="E310" s="987"/>
      <c r="F310" s="987"/>
      <c r="G310" s="987"/>
      <c r="H310" s="987"/>
      <c r="I310" s="987"/>
      <c r="J310" s="987"/>
      <c r="K310" s="987"/>
      <c r="L310" s="988"/>
      <c r="M310" s="988"/>
      <c r="N310" s="988"/>
      <c r="O310" s="988"/>
      <c r="P310" s="987"/>
      <c r="Q310" s="987"/>
      <c r="R310" s="987"/>
      <c r="S310" s="987"/>
      <c r="T310" s="987"/>
      <c r="U310" s="987">
        <v>1</v>
      </c>
      <c r="V310" s="987"/>
      <c r="W310" s="987"/>
      <c r="X310" s="987"/>
      <c r="Y310" s="987"/>
      <c r="Z310" s="987"/>
      <c r="AA310" s="987">
        <f t="shared" si="21"/>
        <v>1</v>
      </c>
      <c r="AB310" s="987" t="s">
        <v>1</v>
      </c>
      <c r="AC310" s="987" t="s">
        <v>106</v>
      </c>
      <c r="AD310" s="1036" t="s">
        <v>32</v>
      </c>
      <c r="AE310" s="990">
        <v>0.107</v>
      </c>
      <c r="AF310" s="1322">
        <v>3.3000000000000002E-2</v>
      </c>
      <c r="AG310" s="1322">
        <v>0.16700000000000001</v>
      </c>
      <c r="AH310" s="989">
        <f t="shared" si="22"/>
        <v>333450</v>
      </c>
    </row>
    <row r="311" spans="1:34" s="638" customFormat="1" ht="15">
      <c r="A311" s="1036" t="s">
        <v>195</v>
      </c>
      <c r="B311" s="986" t="s">
        <v>179</v>
      </c>
      <c r="C311" s="987"/>
      <c r="D311" s="986"/>
      <c r="E311" s="987"/>
      <c r="F311" s="987"/>
      <c r="G311" s="987"/>
      <c r="H311" s="987"/>
      <c r="I311" s="987"/>
      <c r="J311" s="987"/>
      <c r="K311" s="987"/>
      <c r="L311" s="988"/>
      <c r="M311" s="988"/>
      <c r="N311" s="988"/>
      <c r="O311" s="988"/>
      <c r="P311" s="987"/>
      <c r="Q311" s="987"/>
      <c r="R311" s="987"/>
      <c r="S311" s="987"/>
      <c r="T311" s="987"/>
      <c r="U311" s="987"/>
      <c r="V311" s="987"/>
      <c r="W311" s="987"/>
      <c r="X311" s="987"/>
      <c r="Y311" s="987"/>
      <c r="Z311" s="987"/>
      <c r="AA311" s="987">
        <f t="shared" si="21"/>
        <v>0</v>
      </c>
      <c r="AB311" s="987"/>
      <c r="AC311" s="987"/>
      <c r="AD311" s="1036"/>
      <c r="AE311" s="987"/>
      <c r="AF311" s="989"/>
      <c r="AG311" s="986"/>
      <c r="AH311" s="989">
        <f t="shared" si="22"/>
        <v>0</v>
      </c>
    </row>
    <row r="312" spans="1:34" s="646" customFormat="1" ht="15">
      <c r="A312" s="1041" t="s">
        <v>626</v>
      </c>
      <c r="B312" s="1039" t="s">
        <v>181</v>
      </c>
      <c r="C312" s="1038"/>
      <c r="D312" s="1039"/>
      <c r="E312" s="1038"/>
      <c r="F312" s="1038"/>
      <c r="G312" s="987"/>
      <c r="H312" s="987"/>
      <c r="I312" s="987"/>
      <c r="J312" s="987"/>
      <c r="K312" s="987"/>
      <c r="L312" s="988"/>
      <c r="M312" s="988"/>
      <c r="N312" s="988"/>
      <c r="O312" s="988"/>
      <c r="P312" s="987"/>
      <c r="Q312" s="987"/>
      <c r="R312" s="987"/>
      <c r="S312" s="987"/>
      <c r="T312" s="987">
        <v>1</v>
      </c>
      <c r="U312" s="987"/>
      <c r="V312" s="987"/>
      <c r="W312" s="987"/>
      <c r="X312" s="987"/>
      <c r="Y312" s="987"/>
      <c r="Z312" s="987"/>
      <c r="AA312" s="987">
        <f t="shared" si="21"/>
        <v>1</v>
      </c>
      <c r="AB312" s="987" t="s">
        <v>145</v>
      </c>
      <c r="AC312" s="987" t="s">
        <v>69</v>
      </c>
      <c r="AD312" s="1036" t="s">
        <v>32</v>
      </c>
      <c r="AE312" s="990">
        <v>0.1</v>
      </c>
      <c r="AF312" s="1322">
        <v>0.1</v>
      </c>
      <c r="AG312" s="1322">
        <v>0.1</v>
      </c>
      <c r="AH312" s="989">
        <f t="shared" si="22"/>
        <v>296770.5</v>
      </c>
    </row>
    <row r="313" spans="1:34" s="1323" customFormat="1" ht="15">
      <c r="A313" s="1041" t="s">
        <v>627</v>
      </c>
      <c r="B313" s="1039" t="s">
        <v>182</v>
      </c>
      <c r="C313" s="1038"/>
      <c r="D313" s="1039"/>
      <c r="E313" s="1038"/>
      <c r="F313" s="1038"/>
      <c r="G313" s="987"/>
      <c r="H313" s="987"/>
      <c r="I313" s="987"/>
      <c r="J313" s="987"/>
      <c r="K313" s="987"/>
      <c r="L313" s="988"/>
      <c r="M313" s="988"/>
      <c r="N313" s="988"/>
      <c r="O313" s="988"/>
      <c r="P313" s="987"/>
      <c r="Q313" s="987"/>
      <c r="R313" s="987"/>
      <c r="S313" s="987"/>
      <c r="T313" s="987">
        <v>1</v>
      </c>
      <c r="U313" s="987"/>
      <c r="V313" s="987"/>
      <c r="W313" s="987"/>
      <c r="X313" s="987"/>
      <c r="Y313" s="987"/>
      <c r="Z313" s="987"/>
      <c r="AA313" s="987">
        <f t="shared" si="21"/>
        <v>1</v>
      </c>
      <c r="AB313" s="987" t="s">
        <v>145</v>
      </c>
      <c r="AC313" s="987" t="s">
        <v>69</v>
      </c>
      <c r="AD313" s="1036" t="s">
        <v>32</v>
      </c>
      <c r="AE313" s="990">
        <v>0.15</v>
      </c>
      <c r="AF313" s="1322">
        <v>0.2</v>
      </c>
      <c r="AG313" s="1322">
        <v>0.2</v>
      </c>
      <c r="AH313" s="989">
        <f t="shared" si="22"/>
        <v>296770.5</v>
      </c>
    </row>
    <row r="314" spans="1:34" s="638" customFormat="1" ht="25.5">
      <c r="A314" s="1036" t="s">
        <v>210</v>
      </c>
      <c r="B314" s="986" t="s">
        <v>614</v>
      </c>
      <c r="C314" s="987"/>
      <c r="D314" s="986"/>
      <c r="E314" s="987"/>
      <c r="F314" s="987"/>
      <c r="G314" s="987"/>
      <c r="H314" s="987"/>
      <c r="I314" s="987"/>
      <c r="J314" s="987"/>
      <c r="K314" s="987"/>
      <c r="L314" s="988"/>
      <c r="M314" s="988"/>
      <c r="N314" s="988"/>
      <c r="O314" s="988"/>
      <c r="P314" s="987"/>
      <c r="Q314" s="987"/>
      <c r="R314" s="987"/>
      <c r="S314" s="987"/>
      <c r="T314" s="987"/>
      <c r="U314" s="987">
        <v>1</v>
      </c>
      <c r="V314" s="987"/>
      <c r="W314" s="987"/>
      <c r="X314" s="987"/>
      <c r="Y314" s="987"/>
      <c r="Z314" s="987"/>
      <c r="AA314" s="987">
        <f t="shared" si="21"/>
        <v>1</v>
      </c>
      <c r="AB314" s="987" t="s">
        <v>53</v>
      </c>
      <c r="AC314" s="987" t="s">
        <v>106</v>
      </c>
      <c r="AD314" s="1036" t="s">
        <v>32</v>
      </c>
      <c r="AE314" s="990">
        <v>0.4</v>
      </c>
      <c r="AF314" s="1322">
        <v>0.4</v>
      </c>
      <c r="AG314" s="1322">
        <v>0.52</v>
      </c>
      <c r="AH314" s="989">
        <f t="shared" si="22"/>
        <v>333450</v>
      </c>
    </row>
    <row r="315" spans="1:34" s="638" customFormat="1" ht="38.25">
      <c r="A315" s="1036" t="s">
        <v>296</v>
      </c>
      <c r="B315" s="986" t="s">
        <v>977</v>
      </c>
      <c r="C315" s="987"/>
      <c r="D315" s="986"/>
      <c r="E315" s="987"/>
      <c r="F315" s="987"/>
      <c r="G315" s="987"/>
      <c r="H315" s="987"/>
      <c r="I315" s="987"/>
      <c r="J315" s="987"/>
      <c r="K315" s="987"/>
      <c r="L315" s="988"/>
      <c r="M315" s="988"/>
      <c r="N315" s="988"/>
      <c r="O315" s="988"/>
      <c r="P315" s="987"/>
      <c r="Q315" s="987"/>
      <c r="R315" s="987"/>
      <c r="S315" s="987"/>
      <c r="T315" s="987">
        <v>1</v>
      </c>
      <c r="U315" s="987"/>
      <c r="V315" s="987"/>
      <c r="W315" s="987"/>
      <c r="X315" s="987"/>
      <c r="Y315" s="987"/>
      <c r="Z315" s="987"/>
      <c r="AA315" s="987">
        <f t="shared" si="21"/>
        <v>1</v>
      </c>
      <c r="AB315" s="987" t="s">
        <v>53</v>
      </c>
      <c r="AC315" s="987" t="s">
        <v>69</v>
      </c>
      <c r="AD315" s="1036" t="s">
        <v>32</v>
      </c>
      <c r="AE315" s="990">
        <v>0.37</v>
      </c>
      <c r="AF315" s="1322">
        <v>0.37</v>
      </c>
      <c r="AG315" s="1322">
        <v>0.44400000000000001</v>
      </c>
      <c r="AH315" s="989">
        <f t="shared" si="22"/>
        <v>296770.5</v>
      </c>
    </row>
    <row r="316" spans="1:34" s="638" customFormat="1" ht="25.5">
      <c r="A316" s="1036" t="s">
        <v>298</v>
      </c>
      <c r="B316" s="986" t="s">
        <v>189</v>
      </c>
      <c r="C316" s="987"/>
      <c r="D316" s="986"/>
      <c r="E316" s="987"/>
      <c r="F316" s="987"/>
      <c r="G316" s="987"/>
      <c r="H316" s="987"/>
      <c r="I316" s="987"/>
      <c r="J316" s="987"/>
      <c r="K316" s="987"/>
      <c r="L316" s="988"/>
      <c r="M316" s="988"/>
      <c r="N316" s="988"/>
      <c r="O316" s="988"/>
      <c r="P316" s="987"/>
      <c r="Q316" s="987"/>
      <c r="R316" s="987"/>
      <c r="S316" s="987"/>
      <c r="T316" s="987"/>
      <c r="U316" s="987"/>
      <c r="V316" s="987"/>
      <c r="W316" s="987"/>
      <c r="X316" s="987"/>
      <c r="Y316" s="987"/>
      <c r="Z316" s="987"/>
      <c r="AA316" s="987">
        <f t="shared" si="21"/>
        <v>0</v>
      </c>
      <c r="AB316" s="987"/>
      <c r="AC316" s="987"/>
      <c r="AD316" s="1036"/>
      <c r="AE316" s="987"/>
      <c r="AF316" s="989"/>
      <c r="AG316" s="986"/>
      <c r="AH316" s="989">
        <f t="shared" si="22"/>
        <v>0</v>
      </c>
    </row>
    <row r="317" spans="1:34" s="646" customFormat="1" ht="15">
      <c r="A317" s="1041" t="s">
        <v>677</v>
      </c>
      <c r="B317" s="1039" t="s">
        <v>190</v>
      </c>
      <c r="C317" s="1038"/>
      <c r="D317" s="1039"/>
      <c r="E317" s="1038"/>
      <c r="F317" s="1038"/>
      <c r="G317" s="1038"/>
      <c r="H317" s="1038"/>
      <c r="I317" s="1038"/>
      <c r="J317" s="1038"/>
      <c r="K317" s="1038"/>
      <c r="L317" s="1040"/>
      <c r="M317" s="1040"/>
      <c r="N317" s="1040"/>
      <c r="O317" s="1040"/>
      <c r="P317" s="1038"/>
      <c r="Q317" s="1038"/>
      <c r="R317" s="1038"/>
      <c r="S317" s="1038">
        <v>1</v>
      </c>
      <c r="T317" s="1038"/>
      <c r="U317" s="1038"/>
      <c r="V317" s="1038"/>
      <c r="W317" s="1038"/>
      <c r="X317" s="1038"/>
      <c r="Y317" s="1038"/>
      <c r="Z317" s="1038"/>
      <c r="AA317" s="1038">
        <f t="shared" si="21"/>
        <v>1</v>
      </c>
      <c r="AB317" s="1038" t="s">
        <v>551</v>
      </c>
      <c r="AC317" s="1038" t="s">
        <v>68</v>
      </c>
      <c r="AD317" s="1041" t="s">
        <v>32</v>
      </c>
      <c r="AE317" s="1042">
        <v>1.6E-2</v>
      </c>
      <c r="AF317" s="1328">
        <v>1.6E-2</v>
      </c>
      <c r="AG317" s="1328">
        <v>1.6E-2</v>
      </c>
      <c r="AH317" s="1043">
        <f t="shared" si="22"/>
        <v>260091</v>
      </c>
    </row>
    <row r="318" spans="1:34" s="646" customFormat="1" ht="15">
      <c r="A318" s="1041" t="s">
        <v>678</v>
      </c>
      <c r="B318" s="1039" t="s">
        <v>191</v>
      </c>
      <c r="C318" s="1038"/>
      <c r="D318" s="1039"/>
      <c r="E318" s="1038"/>
      <c r="F318" s="1038"/>
      <c r="G318" s="1038"/>
      <c r="H318" s="1038"/>
      <c r="I318" s="1038"/>
      <c r="J318" s="1038"/>
      <c r="K318" s="1038"/>
      <c r="L318" s="1040"/>
      <c r="M318" s="1040"/>
      <c r="N318" s="1040"/>
      <c r="O318" s="1040"/>
      <c r="P318" s="1038"/>
      <c r="Q318" s="1038"/>
      <c r="R318" s="1038"/>
      <c r="S318" s="1038">
        <v>1</v>
      </c>
      <c r="T318" s="1038"/>
      <c r="U318" s="1038"/>
      <c r="V318" s="1038"/>
      <c r="W318" s="1038"/>
      <c r="X318" s="1038"/>
      <c r="Y318" s="1038"/>
      <c r="Z318" s="1038"/>
      <c r="AA318" s="1038">
        <f t="shared" si="21"/>
        <v>1</v>
      </c>
      <c r="AB318" s="1038" t="s">
        <v>551</v>
      </c>
      <c r="AC318" s="1038" t="s">
        <v>68</v>
      </c>
      <c r="AD318" s="1041" t="s">
        <v>32</v>
      </c>
      <c r="AE318" s="1042">
        <v>8.0000000000000002E-3</v>
      </c>
      <c r="AF318" s="1328">
        <v>8.0000000000000002E-3</v>
      </c>
      <c r="AG318" s="1328">
        <v>8.0000000000000002E-3</v>
      </c>
      <c r="AH318" s="1043">
        <f t="shared" si="22"/>
        <v>260091</v>
      </c>
    </row>
    <row r="319" spans="1:34" s="638" customFormat="1" ht="38.25">
      <c r="A319" s="1036" t="s">
        <v>300</v>
      </c>
      <c r="B319" s="986" t="s">
        <v>192</v>
      </c>
      <c r="C319" s="987"/>
      <c r="D319" s="986"/>
      <c r="E319" s="987"/>
      <c r="F319" s="987"/>
      <c r="G319" s="987"/>
      <c r="H319" s="987"/>
      <c r="I319" s="987"/>
      <c r="J319" s="987"/>
      <c r="K319" s="987"/>
      <c r="L319" s="988"/>
      <c r="M319" s="988"/>
      <c r="N319" s="988"/>
      <c r="O319" s="988"/>
      <c r="P319" s="987"/>
      <c r="Q319" s="987"/>
      <c r="R319" s="987"/>
      <c r="S319" s="987">
        <v>1</v>
      </c>
      <c r="T319" s="987"/>
      <c r="U319" s="987"/>
      <c r="V319" s="987"/>
      <c r="W319" s="987"/>
      <c r="X319" s="987"/>
      <c r="Y319" s="987"/>
      <c r="Z319" s="987"/>
      <c r="AA319" s="987">
        <f t="shared" si="21"/>
        <v>1</v>
      </c>
      <c r="AB319" s="987" t="s">
        <v>551</v>
      </c>
      <c r="AC319" s="987" t="s">
        <v>68</v>
      </c>
      <c r="AD319" s="1036" t="s">
        <v>32</v>
      </c>
      <c r="AE319" s="990">
        <v>4.0000000000000001E-3</v>
      </c>
      <c r="AF319" s="1322">
        <v>4.0000000000000001E-3</v>
      </c>
      <c r="AG319" s="1322">
        <v>4.0000000000000001E-3</v>
      </c>
      <c r="AH319" s="989">
        <f t="shared" si="22"/>
        <v>260091</v>
      </c>
    </row>
    <row r="320" spans="1:34" s="638" customFormat="1" ht="25.5">
      <c r="A320" s="1036" t="s">
        <v>302</v>
      </c>
      <c r="B320" s="986" t="s">
        <v>193</v>
      </c>
      <c r="C320" s="987"/>
      <c r="D320" s="986"/>
      <c r="E320" s="987"/>
      <c r="F320" s="987"/>
      <c r="G320" s="987"/>
      <c r="H320" s="987"/>
      <c r="I320" s="987"/>
      <c r="J320" s="987"/>
      <c r="K320" s="987"/>
      <c r="L320" s="988"/>
      <c r="M320" s="988"/>
      <c r="N320" s="988"/>
      <c r="O320" s="988"/>
      <c r="P320" s="987"/>
      <c r="Q320" s="987"/>
      <c r="R320" s="987"/>
      <c r="S320" s="987">
        <v>1</v>
      </c>
      <c r="T320" s="987"/>
      <c r="U320" s="987"/>
      <c r="V320" s="987"/>
      <c r="W320" s="987"/>
      <c r="X320" s="987"/>
      <c r="Y320" s="987"/>
      <c r="Z320" s="987"/>
      <c r="AA320" s="987">
        <f t="shared" si="21"/>
        <v>1</v>
      </c>
      <c r="AB320" s="987" t="s">
        <v>1</v>
      </c>
      <c r="AC320" s="987" t="s">
        <v>68</v>
      </c>
      <c r="AD320" s="1036" t="s">
        <v>32</v>
      </c>
      <c r="AE320" s="990">
        <v>0.01</v>
      </c>
      <c r="AF320" s="1322">
        <v>0.01</v>
      </c>
      <c r="AG320" s="1322">
        <v>0.01</v>
      </c>
      <c r="AH320" s="989">
        <f t="shared" si="22"/>
        <v>260091</v>
      </c>
    </row>
    <row r="321" spans="1:34" s="638" customFormat="1" ht="63.75">
      <c r="A321" s="1036" t="s">
        <v>304</v>
      </c>
      <c r="B321" s="986" t="s">
        <v>687</v>
      </c>
      <c r="C321" s="987"/>
      <c r="D321" s="986"/>
      <c r="E321" s="987"/>
      <c r="F321" s="987"/>
      <c r="G321" s="987"/>
      <c r="H321" s="987"/>
      <c r="I321" s="987"/>
      <c r="J321" s="987"/>
      <c r="K321" s="987"/>
      <c r="L321" s="988"/>
      <c r="M321" s="988"/>
      <c r="N321" s="988"/>
      <c r="O321" s="988"/>
      <c r="P321" s="987"/>
      <c r="Q321" s="987"/>
      <c r="R321" s="987"/>
      <c r="S321" s="987"/>
      <c r="T321" s="987">
        <v>1</v>
      </c>
      <c r="U321" s="987"/>
      <c r="V321" s="987"/>
      <c r="W321" s="987"/>
      <c r="X321" s="987"/>
      <c r="Y321" s="987"/>
      <c r="Z321" s="987"/>
      <c r="AA321" s="987">
        <f t="shared" si="21"/>
        <v>1</v>
      </c>
      <c r="AB321" s="987" t="s">
        <v>53</v>
      </c>
      <c r="AC321" s="987" t="s">
        <v>69</v>
      </c>
      <c r="AD321" s="1036" t="s">
        <v>32</v>
      </c>
      <c r="AE321" s="990">
        <v>0.05</v>
      </c>
      <c r="AF321" s="1322">
        <v>0.05</v>
      </c>
      <c r="AG321" s="1322">
        <v>6.5000000000000002E-2</v>
      </c>
      <c r="AH321" s="989">
        <f t="shared" si="22"/>
        <v>296770.5</v>
      </c>
    </row>
    <row r="322" spans="1:34" s="638" customFormat="1" ht="76.5">
      <c r="A322" s="1036" t="s">
        <v>306</v>
      </c>
      <c r="B322" s="986" t="s">
        <v>688</v>
      </c>
      <c r="C322" s="987"/>
      <c r="D322" s="986"/>
      <c r="E322" s="987"/>
      <c r="F322" s="987"/>
      <c r="G322" s="987"/>
      <c r="H322" s="987"/>
      <c r="I322" s="987"/>
      <c r="J322" s="987"/>
      <c r="K322" s="987"/>
      <c r="L322" s="988"/>
      <c r="M322" s="988"/>
      <c r="N322" s="988"/>
      <c r="O322" s="988"/>
      <c r="P322" s="987"/>
      <c r="Q322" s="987"/>
      <c r="R322" s="987"/>
      <c r="S322" s="987"/>
      <c r="T322" s="987">
        <v>1</v>
      </c>
      <c r="U322" s="987"/>
      <c r="V322" s="987"/>
      <c r="W322" s="987"/>
      <c r="X322" s="987"/>
      <c r="Y322" s="987"/>
      <c r="Z322" s="987"/>
      <c r="AA322" s="987">
        <f t="shared" si="21"/>
        <v>1</v>
      </c>
      <c r="AB322" s="987" t="s">
        <v>53</v>
      </c>
      <c r="AC322" s="987" t="s">
        <v>69</v>
      </c>
      <c r="AD322" s="1036" t="s">
        <v>32</v>
      </c>
      <c r="AE322" s="990">
        <v>0.05</v>
      </c>
      <c r="AF322" s="1322">
        <v>0.05</v>
      </c>
      <c r="AG322" s="1322">
        <v>6.5000000000000002E-2</v>
      </c>
      <c r="AH322" s="989">
        <f t="shared" si="22"/>
        <v>296770.5</v>
      </c>
    </row>
    <row r="323" spans="1:34" s="638" customFormat="1" ht="25.5">
      <c r="A323" s="1044" t="s">
        <v>308</v>
      </c>
      <c r="B323" s="1045" t="s">
        <v>978</v>
      </c>
      <c r="C323" s="1046"/>
      <c r="D323" s="1045"/>
      <c r="E323" s="1046"/>
      <c r="F323" s="1046"/>
      <c r="G323" s="1046"/>
      <c r="H323" s="1046"/>
      <c r="I323" s="1046"/>
      <c r="J323" s="1046"/>
      <c r="K323" s="1046"/>
      <c r="L323" s="1047"/>
      <c r="M323" s="1047"/>
      <c r="N323" s="1047"/>
      <c r="O323" s="1047"/>
      <c r="P323" s="1046"/>
      <c r="Q323" s="1046"/>
      <c r="R323" s="1046"/>
      <c r="S323" s="1046"/>
      <c r="T323" s="1046">
        <v>1</v>
      </c>
      <c r="U323" s="1046"/>
      <c r="V323" s="1046"/>
      <c r="W323" s="1046"/>
      <c r="X323" s="1046"/>
      <c r="Y323" s="1046"/>
      <c r="Z323" s="1046"/>
      <c r="AA323" s="1046">
        <f>SUM(C323:Z323)</f>
        <v>1</v>
      </c>
      <c r="AB323" s="1046" t="s">
        <v>53</v>
      </c>
      <c r="AC323" s="1046" t="s">
        <v>69</v>
      </c>
      <c r="AD323" s="1036" t="s">
        <v>32</v>
      </c>
      <c r="AE323" s="1048">
        <v>0.02</v>
      </c>
      <c r="AF323" s="1049">
        <v>0.02</v>
      </c>
      <c r="AG323" s="1049">
        <v>2.5999999999999999E-2</v>
      </c>
      <c r="AH323" s="1050">
        <f t="shared" si="22"/>
        <v>296770.5</v>
      </c>
    </row>
    <row r="324" spans="1:34" s="1056" customFormat="1" ht="15">
      <c r="A324" s="1057" t="s">
        <v>138</v>
      </c>
      <c r="B324" s="1391" t="s">
        <v>196</v>
      </c>
      <c r="C324" s="1391"/>
      <c r="D324" s="1391"/>
      <c r="E324" s="1391"/>
      <c r="F324" s="1391"/>
      <c r="G324" s="1391"/>
      <c r="H324" s="1391"/>
      <c r="I324" s="1391"/>
      <c r="J324" s="1391"/>
      <c r="K324" s="1391"/>
      <c r="L324" s="1391"/>
      <c r="M324" s="1391"/>
      <c r="N324" s="1391"/>
      <c r="O324" s="1391"/>
      <c r="P324" s="1391"/>
      <c r="Q324" s="1391"/>
      <c r="R324" s="1391"/>
      <c r="S324" s="1391"/>
      <c r="T324" s="1391"/>
      <c r="U324" s="1391"/>
      <c r="V324" s="1391"/>
      <c r="W324" s="1391"/>
      <c r="X324" s="1391"/>
      <c r="Y324" s="1391"/>
      <c r="Z324" s="1391"/>
      <c r="AA324" s="1391"/>
      <c r="AB324" s="1391"/>
      <c r="AC324" s="1391"/>
      <c r="AD324" s="1391"/>
      <c r="AE324" s="1053"/>
      <c r="AF324" s="1054"/>
      <c r="AG324" s="1054"/>
      <c r="AH324" s="1055"/>
    </row>
    <row r="325" spans="1:34" s="638" customFormat="1" ht="25.5">
      <c r="A325" s="1051"/>
      <c r="B325" s="1045" t="s">
        <v>731</v>
      </c>
      <c r="C325" s="1046"/>
      <c r="D325" s="1045"/>
      <c r="E325" s="1046"/>
      <c r="F325" s="1046"/>
      <c r="G325" s="1046"/>
      <c r="H325" s="1046"/>
      <c r="I325" s="1046"/>
      <c r="J325" s="1046"/>
      <c r="K325" s="1046"/>
      <c r="L325" s="1047"/>
      <c r="M325" s="1047"/>
      <c r="N325" s="1047"/>
      <c r="O325" s="1047"/>
      <c r="P325" s="1046"/>
      <c r="Q325" s="1046"/>
      <c r="R325" s="1046"/>
      <c r="S325" s="1046"/>
      <c r="T325" s="1046">
        <v>1</v>
      </c>
      <c r="U325" s="1046"/>
      <c r="V325" s="1046"/>
      <c r="W325" s="1046"/>
      <c r="X325" s="1046"/>
      <c r="Y325" s="1046"/>
      <c r="Z325" s="1046"/>
      <c r="AA325" s="1046">
        <v>1</v>
      </c>
      <c r="AB325" s="1046" t="s">
        <v>53</v>
      </c>
      <c r="AC325" s="1046" t="s">
        <v>69</v>
      </c>
      <c r="AD325" s="1036" t="s">
        <v>32</v>
      </c>
      <c r="AE325" s="1048">
        <v>0.02</v>
      </c>
      <c r="AF325" s="1049">
        <v>0.02</v>
      </c>
      <c r="AG325" s="1049">
        <v>2.5999999999999999E-2</v>
      </c>
      <c r="AH325" s="1050">
        <f t="shared" si="22"/>
        <v>296770.5</v>
      </c>
    </row>
    <row r="326" spans="1:34" ht="22.15" customHeight="1">
      <c r="A326" s="110" t="s">
        <v>730</v>
      </c>
      <c r="B326" s="883" t="s">
        <v>258</v>
      </c>
      <c r="C326" s="884"/>
      <c r="D326" s="884"/>
      <c r="E326" s="884"/>
      <c r="F326" s="884"/>
      <c r="G326" s="884"/>
      <c r="H326" s="884"/>
      <c r="I326" s="884"/>
      <c r="J326" s="884"/>
      <c r="K326" s="884"/>
      <c r="L326" s="884"/>
      <c r="M326" s="884"/>
      <c r="N326" s="884"/>
      <c r="O326" s="884"/>
      <c r="P326" s="884"/>
      <c r="Q326" s="884"/>
      <c r="R326" s="884"/>
      <c r="S326" s="884"/>
      <c r="T326" s="884"/>
      <c r="U326" s="884"/>
      <c r="V326" s="884"/>
      <c r="W326" s="884"/>
      <c r="X326" s="884"/>
      <c r="Y326" s="884"/>
      <c r="Z326" s="884"/>
      <c r="AA326" s="884"/>
      <c r="AB326" s="884"/>
      <c r="AC326" s="884"/>
      <c r="AD326" s="884"/>
      <c r="AE326" s="884"/>
      <c r="AF326" s="884"/>
      <c r="AG326" s="884"/>
      <c r="AH326" s="458"/>
    </row>
    <row r="327" spans="1:34" ht="31.9" customHeight="1">
      <c r="A327" s="82" t="s">
        <v>33</v>
      </c>
      <c r="B327" s="1386" t="s">
        <v>630</v>
      </c>
      <c r="C327" s="1387"/>
      <c r="D327" s="1387"/>
      <c r="E327" s="1387"/>
      <c r="F327" s="1387"/>
      <c r="G327" s="1387"/>
      <c r="H327" s="1387"/>
      <c r="I327" s="1387"/>
      <c r="J327" s="1387"/>
      <c r="K327" s="1387"/>
      <c r="L327" s="1387"/>
      <c r="M327" s="1387"/>
      <c r="N327" s="1387"/>
      <c r="O327" s="1387"/>
      <c r="P327" s="1387"/>
      <c r="Q327" s="1387"/>
      <c r="R327" s="1387"/>
      <c r="S327" s="1387"/>
      <c r="T327" s="1387"/>
      <c r="U327" s="1387"/>
      <c r="V327" s="1387"/>
      <c r="W327" s="1387"/>
      <c r="X327" s="1387"/>
      <c r="Y327" s="1387"/>
      <c r="Z327" s="1387"/>
      <c r="AA327" s="1387"/>
      <c r="AB327" s="1387"/>
      <c r="AC327" s="1387"/>
      <c r="AD327" s="1388"/>
      <c r="AE327" s="78"/>
      <c r="AF327" s="103"/>
      <c r="AG327" s="103"/>
      <c r="AH327" s="113"/>
    </row>
    <row r="328" spans="1:34" ht="31.9" customHeight="1">
      <c r="A328" s="82" t="s">
        <v>34</v>
      </c>
      <c r="B328" s="1386" t="s">
        <v>732</v>
      </c>
      <c r="C328" s="1387"/>
      <c r="D328" s="1387"/>
      <c r="E328" s="1387"/>
      <c r="F328" s="1387"/>
      <c r="G328" s="1387"/>
      <c r="H328" s="1387"/>
      <c r="I328" s="1387"/>
      <c r="J328" s="1387"/>
      <c r="K328" s="1387"/>
      <c r="L328" s="1387"/>
      <c r="M328" s="1387"/>
      <c r="N328" s="1387"/>
      <c r="O328" s="1387"/>
      <c r="P328" s="1387"/>
      <c r="Q328" s="1387"/>
      <c r="R328" s="1387"/>
      <c r="S328" s="1387"/>
      <c r="T328" s="1387"/>
      <c r="U328" s="1387"/>
      <c r="V328" s="1387"/>
      <c r="W328" s="1387"/>
      <c r="X328" s="1387"/>
      <c r="Y328" s="1387"/>
      <c r="Z328" s="1387"/>
      <c r="AA328" s="1387"/>
      <c r="AB328" s="1387"/>
      <c r="AC328" s="1387"/>
      <c r="AD328" s="1388"/>
      <c r="AE328" s="79" t="s">
        <v>354</v>
      </c>
      <c r="AF328" s="119"/>
      <c r="AG328" s="119"/>
      <c r="AH328" s="113"/>
    </row>
    <row r="329" spans="1:34" ht="31.9" customHeight="1">
      <c r="A329" s="82" t="s">
        <v>35</v>
      </c>
      <c r="B329" s="1386" t="s">
        <v>628</v>
      </c>
      <c r="C329" s="1387"/>
      <c r="D329" s="1387"/>
      <c r="E329" s="1387"/>
      <c r="F329" s="1387"/>
      <c r="G329" s="1387"/>
      <c r="H329" s="1387"/>
      <c r="I329" s="1387"/>
      <c r="J329" s="1387"/>
      <c r="K329" s="1387"/>
      <c r="L329" s="1387"/>
      <c r="M329" s="1387"/>
      <c r="N329" s="1387"/>
      <c r="O329" s="1387"/>
      <c r="P329" s="1387"/>
      <c r="Q329" s="1387"/>
      <c r="R329" s="1387"/>
      <c r="S329" s="1387"/>
      <c r="T329" s="1387"/>
      <c r="U329" s="1387"/>
      <c r="V329" s="1387"/>
      <c r="W329" s="1387"/>
      <c r="X329" s="1387"/>
      <c r="Y329" s="1387"/>
      <c r="Z329" s="1387"/>
      <c r="AA329" s="1387"/>
      <c r="AB329" s="1387"/>
      <c r="AC329" s="1387"/>
      <c r="AD329" s="1388"/>
      <c r="AE329" s="78"/>
      <c r="AF329" s="103"/>
      <c r="AG329" s="103"/>
      <c r="AH329" s="113"/>
    </row>
    <row r="330" spans="1:34" ht="31.9" customHeight="1">
      <c r="A330" s="82" t="s">
        <v>158</v>
      </c>
      <c r="B330" s="1386" t="s">
        <v>733</v>
      </c>
      <c r="C330" s="1387"/>
      <c r="D330" s="1387"/>
      <c r="E330" s="1387"/>
      <c r="F330" s="1387"/>
      <c r="G330" s="1387"/>
      <c r="H330" s="1387"/>
      <c r="I330" s="1387"/>
      <c r="J330" s="1387"/>
      <c r="K330" s="1387"/>
      <c r="L330" s="1387"/>
      <c r="M330" s="1387"/>
      <c r="N330" s="1387"/>
      <c r="O330" s="1387"/>
      <c r="P330" s="1387"/>
      <c r="Q330" s="1387"/>
      <c r="R330" s="1387"/>
      <c r="S330" s="1387"/>
      <c r="T330" s="1387"/>
      <c r="U330" s="1387"/>
      <c r="V330" s="1387"/>
      <c r="W330" s="1387"/>
      <c r="X330" s="1387"/>
      <c r="Y330" s="1387"/>
      <c r="Z330" s="1387"/>
      <c r="AA330" s="1387"/>
      <c r="AB330" s="1387"/>
      <c r="AC330" s="1387"/>
      <c r="AD330" s="1388"/>
      <c r="AE330" s="78">
        <v>1.5</v>
      </c>
      <c r="AF330" s="103"/>
      <c r="AG330" s="103"/>
      <c r="AH330" s="113"/>
    </row>
    <row r="331" spans="1:34" ht="31.9" customHeight="1">
      <c r="A331" s="82" t="s">
        <v>159</v>
      </c>
      <c r="B331" s="1386" t="s">
        <v>734</v>
      </c>
      <c r="C331" s="1387"/>
      <c r="D331" s="1387"/>
      <c r="E331" s="1387"/>
      <c r="F331" s="1387"/>
      <c r="G331" s="1387"/>
      <c r="H331" s="1387"/>
      <c r="I331" s="1387"/>
      <c r="J331" s="1387"/>
      <c r="K331" s="1387"/>
      <c r="L331" s="1387"/>
      <c r="M331" s="1387"/>
      <c r="N331" s="1387"/>
      <c r="O331" s="1387"/>
      <c r="P331" s="1387"/>
      <c r="Q331" s="1387"/>
      <c r="R331" s="1387"/>
      <c r="S331" s="1387"/>
      <c r="T331" s="1387"/>
      <c r="U331" s="1387"/>
      <c r="V331" s="1387"/>
      <c r="W331" s="1387"/>
      <c r="X331" s="1387"/>
      <c r="Y331" s="1387"/>
      <c r="Z331" s="1387"/>
      <c r="AA331" s="1387"/>
      <c r="AB331" s="1387"/>
      <c r="AC331" s="1387"/>
      <c r="AD331" s="1388"/>
      <c r="AE331" s="79"/>
      <c r="AF331" s="119"/>
      <c r="AG331" s="119"/>
      <c r="AH331" s="113"/>
    </row>
    <row r="332" spans="1:34" ht="31.9" customHeight="1">
      <c r="A332" s="82"/>
      <c r="B332" s="1386"/>
      <c r="C332" s="1387"/>
      <c r="D332" s="1387"/>
      <c r="E332" s="1387"/>
      <c r="F332" s="1387"/>
      <c r="G332" s="1387"/>
      <c r="H332" s="1387"/>
      <c r="I332" s="1387"/>
      <c r="J332" s="1387"/>
      <c r="K332" s="1387"/>
      <c r="L332" s="1387"/>
      <c r="M332" s="1387"/>
      <c r="N332" s="1387"/>
      <c r="O332" s="1387"/>
      <c r="P332" s="1387"/>
      <c r="Q332" s="1387"/>
      <c r="R332" s="1387"/>
      <c r="S332" s="1387"/>
      <c r="T332" s="1387"/>
      <c r="U332" s="1387"/>
      <c r="V332" s="1387"/>
      <c r="W332" s="1387"/>
      <c r="X332" s="1387"/>
      <c r="Y332" s="1387"/>
      <c r="Z332" s="1387"/>
      <c r="AA332" s="1387"/>
      <c r="AB332" s="1387"/>
      <c r="AC332" s="1387"/>
      <c r="AD332" s="1388"/>
      <c r="AE332" s="78"/>
      <c r="AF332" s="103"/>
      <c r="AG332" s="103"/>
      <c r="AH332" s="113"/>
    </row>
    <row r="333" spans="1:34">
      <c r="A333" s="82"/>
      <c r="B333" s="80"/>
      <c r="C333" s="78"/>
      <c r="D333" s="80"/>
      <c r="E333" s="78"/>
      <c r="F333" s="78"/>
      <c r="G333" s="78"/>
      <c r="H333" s="78"/>
      <c r="I333" s="78"/>
      <c r="J333" s="78"/>
      <c r="K333" s="78"/>
      <c r="L333" s="112"/>
      <c r="M333" s="112"/>
      <c r="N333" s="112"/>
      <c r="O333" s="112"/>
      <c r="P333" s="78"/>
      <c r="Q333" s="78"/>
      <c r="R333" s="78"/>
      <c r="S333" s="78"/>
      <c r="T333" s="78"/>
      <c r="U333" s="78"/>
      <c r="V333" s="78"/>
      <c r="W333" s="78"/>
      <c r="X333" s="78"/>
      <c r="Y333" s="78"/>
      <c r="Z333" s="78"/>
      <c r="AA333" s="78"/>
      <c r="AB333" s="78"/>
      <c r="AC333" s="78"/>
      <c r="AD333" s="79"/>
      <c r="AE333" s="78"/>
      <c r="AF333" s="116"/>
      <c r="AG333" s="80"/>
      <c r="AH333" s="113"/>
    </row>
    <row r="334" spans="1:34" ht="40.5" customHeight="1">
      <c r="A334" s="873" t="s">
        <v>235</v>
      </c>
      <c r="B334" s="1400" t="s">
        <v>689</v>
      </c>
      <c r="C334" s="1400"/>
      <c r="D334" s="1400"/>
      <c r="E334" s="1400"/>
      <c r="F334" s="1400"/>
      <c r="G334" s="1400"/>
      <c r="H334" s="1400"/>
      <c r="I334" s="1400"/>
      <c r="J334" s="1400"/>
      <c r="K334" s="1400"/>
      <c r="L334" s="1400"/>
      <c r="M334" s="1400"/>
      <c r="N334" s="1400"/>
      <c r="O334" s="1400"/>
      <c r="P334" s="1400"/>
      <c r="Q334" s="1400"/>
      <c r="R334" s="1400"/>
      <c r="S334" s="1400"/>
      <c r="T334" s="1400"/>
      <c r="U334" s="1400"/>
      <c r="V334" s="1400"/>
      <c r="W334" s="1400"/>
      <c r="X334" s="1400"/>
      <c r="Y334" s="1400"/>
      <c r="Z334" s="1400"/>
      <c r="AA334" s="1400"/>
      <c r="AB334" s="1400"/>
      <c r="AC334" s="1400"/>
      <c r="AD334" s="1400"/>
      <c r="AE334" s="949"/>
      <c r="AF334" s="949"/>
      <c r="AG334" s="949"/>
      <c r="AH334" s="949" t="s">
        <v>343</v>
      </c>
    </row>
    <row r="335" spans="1:34" ht="22.15" customHeight="1">
      <c r="A335" s="938" t="s">
        <v>690</v>
      </c>
      <c r="B335" s="1390" t="s">
        <v>196</v>
      </c>
      <c r="C335" s="1390"/>
      <c r="D335" s="1390"/>
      <c r="E335" s="1390"/>
      <c r="F335" s="1390"/>
      <c r="G335" s="1390"/>
      <c r="H335" s="1390"/>
      <c r="I335" s="1390"/>
      <c r="J335" s="1390"/>
      <c r="K335" s="1390"/>
      <c r="L335" s="1390"/>
      <c r="M335" s="1390"/>
      <c r="N335" s="1390"/>
      <c r="O335" s="1390"/>
      <c r="P335" s="1390"/>
      <c r="Q335" s="1390"/>
      <c r="R335" s="1390"/>
      <c r="S335" s="1390"/>
      <c r="T335" s="1390"/>
      <c r="U335" s="1390"/>
      <c r="V335" s="1390"/>
      <c r="W335" s="1390"/>
      <c r="X335" s="1390"/>
      <c r="Y335" s="1390"/>
      <c r="Z335" s="1390"/>
      <c r="AA335" s="1390"/>
      <c r="AB335" s="1390"/>
      <c r="AC335" s="1390"/>
      <c r="AD335" s="1390"/>
      <c r="AE335" s="827" t="s">
        <v>213</v>
      </c>
      <c r="AF335" s="827" t="s">
        <v>214</v>
      </c>
      <c r="AG335" s="827" t="s">
        <v>215</v>
      </c>
      <c r="AH335" s="165"/>
    </row>
    <row r="336" spans="1:34" s="638" customFormat="1" ht="25.5">
      <c r="A336" s="1036" t="s">
        <v>33</v>
      </c>
      <c r="B336" s="986" t="s">
        <v>231</v>
      </c>
      <c r="C336" s="987"/>
      <c r="D336" s="986"/>
      <c r="E336" s="987"/>
      <c r="F336" s="987"/>
      <c r="G336" s="987"/>
      <c r="H336" s="987"/>
      <c r="I336" s="987"/>
      <c r="J336" s="987"/>
      <c r="K336" s="987"/>
      <c r="L336" s="988"/>
      <c r="M336" s="988"/>
      <c r="N336" s="988"/>
      <c r="O336" s="988"/>
      <c r="P336" s="987"/>
      <c r="Q336" s="987"/>
      <c r="R336" s="987"/>
      <c r="S336" s="987"/>
      <c r="T336" s="987"/>
      <c r="U336" s="987"/>
      <c r="V336" s="987"/>
      <c r="W336" s="987"/>
      <c r="X336" s="987"/>
      <c r="Y336" s="987"/>
      <c r="Z336" s="987"/>
      <c r="AA336" s="987">
        <f t="shared" ref="AA336:AA376" si="23">SUM(C336:Z336)</f>
        <v>0</v>
      </c>
      <c r="AB336" s="987"/>
      <c r="AC336" s="987"/>
      <c r="AD336" s="1036"/>
      <c r="AE336" s="987"/>
      <c r="AF336" s="989"/>
      <c r="AG336" s="986"/>
      <c r="AH336" s="989">
        <f t="shared" si="22"/>
        <v>0</v>
      </c>
    </row>
    <row r="337" spans="1:34" s="646" customFormat="1" ht="15">
      <c r="A337" s="1041" t="s">
        <v>134</v>
      </c>
      <c r="B337" s="1039" t="s">
        <v>153</v>
      </c>
      <c r="C337" s="987"/>
      <c r="D337" s="986"/>
      <c r="E337" s="987"/>
      <c r="F337" s="987"/>
      <c r="G337" s="987"/>
      <c r="H337" s="987"/>
      <c r="I337" s="987"/>
      <c r="J337" s="987"/>
      <c r="K337" s="987"/>
      <c r="L337" s="988"/>
      <c r="M337" s="988"/>
      <c r="N337" s="988"/>
      <c r="O337" s="988"/>
      <c r="P337" s="987"/>
      <c r="Q337" s="987"/>
      <c r="R337" s="987"/>
      <c r="S337" s="987"/>
      <c r="T337" s="987">
        <v>1</v>
      </c>
      <c r="U337" s="987"/>
      <c r="V337" s="987"/>
      <c r="W337" s="987"/>
      <c r="X337" s="987"/>
      <c r="Y337" s="987"/>
      <c r="Z337" s="987"/>
      <c r="AA337" s="987">
        <f t="shared" si="23"/>
        <v>1</v>
      </c>
      <c r="AB337" s="987" t="s">
        <v>53</v>
      </c>
      <c r="AC337" s="987" t="s">
        <v>69</v>
      </c>
      <c r="AD337" s="1036" t="s">
        <v>32</v>
      </c>
      <c r="AE337" s="990">
        <v>0.25</v>
      </c>
      <c r="AF337" s="1322">
        <v>0.25</v>
      </c>
      <c r="AG337" s="1322">
        <v>0.32500000000000001</v>
      </c>
      <c r="AH337" s="989">
        <f t="shared" si="22"/>
        <v>296770.5</v>
      </c>
    </row>
    <row r="338" spans="1:34" s="1323" customFormat="1" ht="15">
      <c r="A338" s="1041" t="s">
        <v>135</v>
      </c>
      <c r="B338" s="1039" t="s">
        <v>155</v>
      </c>
      <c r="C338" s="987"/>
      <c r="D338" s="986"/>
      <c r="E338" s="987"/>
      <c r="F338" s="987"/>
      <c r="G338" s="987"/>
      <c r="H338" s="987"/>
      <c r="I338" s="987"/>
      <c r="J338" s="987"/>
      <c r="K338" s="987"/>
      <c r="L338" s="988"/>
      <c r="M338" s="988"/>
      <c r="N338" s="988"/>
      <c r="O338" s="988"/>
      <c r="P338" s="987"/>
      <c r="Q338" s="987"/>
      <c r="R338" s="987"/>
      <c r="S338" s="987"/>
      <c r="T338" s="987">
        <v>1</v>
      </c>
      <c r="U338" s="987"/>
      <c r="V338" s="987"/>
      <c r="W338" s="987"/>
      <c r="X338" s="987"/>
      <c r="Y338" s="987"/>
      <c r="Z338" s="987"/>
      <c r="AA338" s="987">
        <f t="shared" si="23"/>
        <v>1</v>
      </c>
      <c r="AB338" s="987" t="s">
        <v>53</v>
      </c>
      <c r="AC338" s="987" t="s">
        <v>69</v>
      </c>
      <c r="AD338" s="1036" t="s">
        <v>32</v>
      </c>
      <c r="AE338" s="990">
        <v>0.2</v>
      </c>
      <c r="AF338" s="1322">
        <v>0.2</v>
      </c>
      <c r="AG338" s="1322">
        <v>0.26</v>
      </c>
      <c r="AH338" s="989">
        <f t="shared" si="22"/>
        <v>296770.5</v>
      </c>
    </row>
    <row r="339" spans="1:34" s="638" customFormat="1" ht="51">
      <c r="A339" s="1036" t="s">
        <v>34</v>
      </c>
      <c r="B339" s="986" t="s">
        <v>715</v>
      </c>
      <c r="C339" s="987"/>
      <c r="D339" s="986"/>
      <c r="E339" s="987"/>
      <c r="F339" s="987"/>
      <c r="G339" s="987"/>
      <c r="H339" s="987"/>
      <c r="I339" s="987"/>
      <c r="J339" s="987"/>
      <c r="K339" s="987"/>
      <c r="L339" s="988"/>
      <c r="M339" s="988"/>
      <c r="N339" s="988"/>
      <c r="O339" s="988"/>
      <c r="P339" s="987"/>
      <c r="Q339" s="987"/>
      <c r="R339" s="987"/>
      <c r="S339" s="987"/>
      <c r="T339" s="987">
        <v>1</v>
      </c>
      <c r="U339" s="987"/>
      <c r="V339" s="987"/>
      <c r="W339" s="987"/>
      <c r="X339" s="987"/>
      <c r="Y339" s="987"/>
      <c r="Z339" s="987"/>
      <c r="AA339" s="987">
        <f t="shared" si="23"/>
        <v>1</v>
      </c>
      <c r="AB339" s="987" t="s">
        <v>53</v>
      </c>
      <c r="AC339" s="987" t="s">
        <v>69</v>
      </c>
      <c r="AD339" s="1036" t="s">
        <v>32</v>
      </c>
      <c r="AE339" s="990">
        <v>0.2</v>
      </c>
      <c r="AF339" s="1322">
        <v>0.2</v>
      </c>
      <c r="AG339" s="1322">
        <v>0.26</v>
      </c>
      <c r="AH339" s="989">
        <f t="shared" si="22"/>
        <v>296770.5</v>
      </c>
    </row>
    <row r="340" spans="1:34" s="638" customFormat="1" ht="25.5">
      <c r="A340" s="1036" t="s">
        <v>35</v>
      </c>
      <c r="B340" s="986" t="s">
        <v>232</v>
      </c>
      <c r="C340" s="987"/>
      <c r="D340" s="986"/>
      <c r="E340" s="987"/>
      <c r="F340" s="987"/>
      <c r="G340" s="987"/>
      <c r="H340" s="987"/>
      <c r="I340" s="987"/>
      <c r="J340" s="987"/>
      <c r="K340" s="987"/>
      <c r="L340" s="988"/>
      <c r="M340" s="988"/>
      <c r="N340" s="988"/>
      <c r="O340" s="988"/>
      <c r="P340" s="987"/>
      <c r="Q340" s="987"/>
      <c r="R340" s="987"/>
      <c r="S340" s="987"/>
      <c r="T340" s="987"/>
      <c r="U340" s="987">
        <v>1</v>
      </c>
      <c r="V340" s="987"/>
      <c r="W340" s="987"/>
      <c r="X340" s="987"/>
      <c r="Y340" s="987"/>
      <c r="Z340" s="987"/>
      <c r="AA340" s="987">
        <f t="shared" si="23"/>
        <v>1</v>
      </c>
      <c r="AB340" s="987" t="s">
        <v>1</v>
      </c>
      <c r="AC340" s="987" t="s">
        <v>106</v>
      </c>
      <c r="AD340" s="1036" t="s">
        <v>32</v>
      </c>
      <c r="AE340" s="990">
        <v>0.107</v>
      </c>
      <c r="AF340" s="1322">
        <v>3.3000000000000002E-2</v>
      </c>
      <c r="AG340" s="1322">
        <v>0.16700000000000001</v>
      </c>
      <c r="AH340" s="989">
        <f t="shared" si="22"/>
        <v>333450</v>
      </c>
    </row>
    <row r="341" spans="1:34" s="638" customFormat="1" ht="25.5">
      <c r="A341" s="1036" t="s">
        <v>158</v>
      </c>
      <c r="B341" s="986" t="s">
        <v>189</v>
      </c>
      <c r="C341" s="987"/>
      <c r="D341" s="986"/>
      <c r="E341" s="987"/>
      <c r="F341" s="987"/>
      <c r="G341" s="987"/>
      <c r="H341" s="987"/>
      <c r="I341" s="987"/>
      <c r="J341" s="987"/>
      <c r="K341" s="987"/>
      <c r="L341" s="988"/>
      <c r="M341" s="988"/>
      <c r="N341" s="988"/>
      <c r="O341" s="988"/>
      <c r="P341" s="987"/>
      <c r="Q341" s="987"/>
      <c r="R341" s="987"/>
      <c r="S341" s="987"/>
      <c r="T341" s="987"/>
      <c r="U341" s="987"/>
      <c r="V341" s="987"/>
      <c r="W341" s="987"/>
      <c r="X341" s="987"/>
      <c r="Y341" s="987"/>
      <c r="Z341" s="987"/>
      <c r="AA341" s="987">
        <f>SUM(C341:Z341)</f>
        <v>0</v>
      </c>
      <c r="AB341" s="987"/>
      <c r="AC341" s="987"/>
      <c r="AD341" s="1036"/>
      <c r="AE341" s="990"/>
      <c r="AF341" s="1322"/>
      <c r="AG341" s="1322"/>
      <c r="AH341" s="989">
        <f>(C341*C$6+D341*D$6+E341*E$6+F341*F$6+G341*G$6+H341*H$6+I341*I$6+J341*J$6+K341*K$6+L341*L$6+M341*M$6+N341*N$6+O341*O$6+P341*P$6+Q341*Q$6+R341*R$6+S341*S$6+T341*T$6+U341*U$6+V341*V$6+W341*W$6+X341*X$6+Y341*Y$6+Z341*Z$6)</f>
        <v>0</v>
      </c>
    </row>
    <row r="342" spans="1:34" s="638" customFormat="1" ht="15">
      <c r="A342" s="1036" t="s">
        <v>217</v>
      </c>
      <c r="B342" s="986" t="s">
        <v>190</v>
      </c>
      <c r="C342" s="987"/>
      <c r="D342" s="986"/>
      <c r="E342" s="987"/>
      <c r="F342" s="987"/>
      <c r="G342" s="987"/>
      <c r="H342" s="987"/>
      <c r="I342" s="987"/>
      <c r="J342" s="987"/>
      <c r="K342" s="987"/>
      <c r="L342" s="988"/>
      <c r="M342" s="988"/>
      <c r="N342" s="988"/>
      <c r="O342" s="988"/>
      <c r="P342" s="987"/>
      <c r="Q342" s="987"/>
      <c r="R342" s="987"/>
      <c r="S342" s="987">
        <v>1</v>
      </c>
      <c r="T342" s="987"/>
      <c r="U342" s="987"/>
      <c r="V342" s="987"/>
      <c r="W342" s="987"/>
      <c r="X342" s="987"/>
      <c r="Y342" s="987"/>
      <c r="Z342" s="987"/>
      <c r="AA342" s="987">
        <f>SUM(C342:Z342)</f>
        <v>1</v>
      </c>
      <c r="AB342" s="987" t="s">
        <v>551</v>
      </c>
      <c r="AC342" s="987" t="s">
        <v>68</v>
      </c>
      <c r="AD342" s="1036" t="s">
        <v>32</v>
      </c>
      <c r="AE342" s="990">
        <v>1.6E-2</v>
      </c>
      <c r="AF342" s="1322">
        <v>0.02</v>
      </c>
      <c r="AG342" s="1322">
        <v>2.4E-2</v>
      </c>
      <c r="AH342" s="989">
        <f>(C342*C$6+D342*D$6+E342*E$6+F342*F$6+G342*G$6+H342*H$6+I342*I$6+J342*J$6+K342*K$6+L342*L$6+M342*M$6+N342*N$6+O342*O$6+P342*P$6+Q342*Q$6+R342*R$6+S342*S$6+T342*T$6+U342*U$6+V342*V$6+W342*W$6+X342*X$6+Y342*Y$6+Z342*Z$6)</f>
        <v>260091</v>
      </c>
    </row>
    <row r="343" spans="1:34" s="638" customFormat="1" ht="15">
      <c r="A343" s="1036" t="s">
        <v>218</v>
      </c>
      <c r="B343" s="986" t="s">
        <v>191</v>
      </c>
      <c r="C343" s="987"/>
      <c r="D343" s="986"/>
      <c r="E343" s="987"/>
      <c r="F343" s="987"/>
      <c r="G343" s="987"/>
      <c r="H343" s="987"/>
      <c r="I343" s="987"/>
      <c r="J343" s="987"/>
      <c r="K343" s="987"/>
      <c r="L343" s="988"/>
      <c r="M343" s="988"/>
      <c r="N343" s="988"/>
      <c r="O343" s="988"/>
      <c r="P343" s="987"/>
      <c r="Q343" s="987"/>
      <c r="R343" s="987"/>
      <c r="S343" s="987">
        <v>1</v>
      </c>
      <c r="T343" s="987"/>
      <c r="U343" s="987"/>
      <c r="V343" s="987"/>
      <c r="W343" s="987"/>
      <c r="X343" s="987"/>
      <c r="Y343" s="987"/>
      <c r="Z343" s="987"/>
      <c r="AA343" s="987">
        <f>SUM(C343:Z343)</f>
        <v>1</v>
      </c>
      <c r="AB343" s="987" t="s">
        <v>551</v>
      </c>
      <c r="AC343" s="987" t="s">
        <v>68</v>
      </c>
      <c r="AD343" s="1036" t="s">
        <v>32</v>
      </c>
      <c r="AE343" s="990">
        <v>8.0000000000000002E-3</v>
      </c>
      <c r="AF343" s="1322">
        <v>0.01</v>
      </c>
      <c r="AG343" s="1322">
        <v>1.2E-2</v>
      </c>
      <c r="AH343" s="989">
        <f>(C343*C$6+D343*D$6+E343*E$6+F343*F$6+G343*G$6+H343*H$6+I343*I$6+J343*J$6+K343*K$6+L343*L$6+M343*M$6+N343*N$6+O343*O$6+P343*P$6+Q343*Q$6+R343*R$6+S343*S$6+T343*T$6+U343*U$6+V343*V$6+W343*W$6+X343*X$6+Y343*Y$6+Z343*Z$6)</f>
        <v>260091</v>
      </c>
    </row>
    <row r="344" spans="1:34" s="638" customFormat="1" ht="38.25">
      <c r="A344" s="1036" t="s">
        <v>159</v>
      </c>
      <c r="B344" s="986" t="s">
        <v>192</v>
      </c>
      <c r="C344" s="987"/>
      <c r="D344" s="986"/>
      <c r="E344" s="987"/>
      <c r="F344" s="987"/>
      <c r="G344" s="987"/>
      <c r="H344" s="987"/>
      <c r="I344" s="987"/>
      <c r="J344" s="987"/>
      <c r="K344" s="987"/>
      <c r="L344" s="988"/>
      <c r="M344" s="988"/>
      <c r="N344" s="988"/>
      <c r="O344" s="988"/>
      <c r="P344" s="987"/>
      <c r="Q344" s="987"/>
      <c r="R344" s="987"/>
      <c r="S344" s="987">
        <v>1</v>
      </c>
      <c r="T344" s="987"/>
      <c r="U344" s="987"/>
      <c r="V344" s="987"/>
      <c r="W344" s="987"/>
      <c r="X344" s="987"/>
      <c r="Y344" s="987"/>
      <c r="Z344" s="987"/>
      <c r="AA344" s="987">
        <f>SUM(C344:Z344)</f>
        <v>1</v>
      </c>
      <c r="AB344" s="987" t="s">
        <v>551</v>
      </c>
      <c r="AC344" s="987" t="s">
        <v>68</v>
      </c>
      <c r="AD344" s="1036" t="s">
        <v>32</v>
      </c>
      <c r="AE344" s="990">
        <v>4.0000000000000001E-3</v>
      </c>
      <c r="AF344" s="1322">
        <v>5.0000000000000001E-3</v>
      </c>
      <c r="AG344" s="1322">
        <v>6.0000000000000001E-3</v>
      </c>
      <c r="AH344" s="989">
        <f>(C344*C$6+D344*D$6+E344*E$6+F344*F$6+G344*G$6+H344*H$6+I344*I$6+J344*J$6+K344*K$6+L344*L$6+M344*M$6+N344*N$6+O344*O$6+P344*P$6+Q344*Q$6+R344*R$6+S344*S$6+T344*T$6+U344*U$6+V344*V$6+W344*W$6+X344*X$6+Y344*Y$6+Z344*Z$6)</f>
        <v>260091</v>
      </c>
    </row>
    <row r="345" spans="1:34" s="638" customFormat="1" ht="15">
      <c r="A345" s="1046">
        <v>6</v>
      </c>
      <c r="B345" s="1304" t="s">
        <v>591</v>
      </c>
      <c r="C345" s="987"/>
      <c r="D345" s="986"/>
      <c r="E345" s="987"/>
      <c r="F345" s="987"/>
      <c r="G345" s="987"/>
      <c r="H345" s="987"/>
      <c r="I345" s="987"/>
      <c r="J345" s="987"/>
      <c r="K345" s="987"/>
      <c r="L345" s="988"/>
      <c r="M345" s="988"/>
      <c r="N345" s="988"/>
      <c r="O345" s="988"/>
      <c r="P345" s="987"/>
      <c r="Q345" s="987"/>
      <c r="R345" s="987"/>
      <c r="S345" s="987"/>
      <c r="T345" s="987"/>
      <c r="U345" s="987"/>
      <c r="V345" s="987"/>
      <c r="W345" s="987"/>
      <c r="X345" s="987"/>
      <c r="Y345" s="987"/>
      <c r="Z345" s="987"/>
      <c r="AA345" s="987"/>
      <c r="AB345" s="987"/>
      <c r="AC345" s="987"/>
      <c r="AD345" s="1036"/>
      <c r="AE345" s="990"/>
      <c r="AF345" s="1322"/>
      <c r="AG345" s="1322"/>
      <c r="AH345" s="989"/>
    </row>
    <row r="346" spans="1:34" s="638" customFormat="1" ht="15">
      <c r="A346" s="1046">
        <v>6.1</v>
      </c>
      <c r="B346" s="1304" t="s">
        <v>153</v>
      </c>
      <c r="C346" s="987"/>
      <c r="D346" s="986"/>
      <c r="E346" s="987"/>
      <c r="F346" s="987"/>
      <c r="G346" s="987"/>
      <c r="H346" s="987"/>
      <c r="I346" s="987"/>
      <c r="J346" s="987"/>
      <c r="K346" s="987"/>
      <c r="L346" s="988"/>
      <c r="M346" s="988"/>
      <c r="N346" s="988"/>
      <c r="O346" s="988"/>
      <c r="P346" s="987"/>
      <c r="Q346" s="987"/>
      <c r="R346" s="987"/>
      <c r="S346" s="987"/>
      <c r="T346" s="987">
        <v>1</v>
      </c>
      <c r="U346" s="987"/>
      <c r="V346" s="987"/>
      <c r="W346" s="987"/>
      <c r="X346" s="987"/>
      <c r="Y346" s="987"/>
      <c r="Z346" s="987"/>
      <c r="AA346" s="987">
        <f t="shared" si="23"/>
        <v>1</v>
      </c>
      <c r="AB346" s="987" t="s">
        <v>53</v>
      </c>
      <c r="AC346" s="987" t="s">
        <v>69</v>
      </c>
      <c r="AD346" s="1036" t="s">
        <v>32</v>
      </c>
      <c r="AE346" s="1048">
        <v>0.05</v>
      </c>
      <c r="AF346" s="1329">
        <v>0.05</v>
      </c>
      <c r="AG346" s="1329">
        <v>0.05</v>
      </c>
      <c r="AH346" s="989">
        <f t="shared" si="22"/>
        <v>296770.5</v>
      </c>
    </row>
    <row r="347" spans="1:34" s="638" customFormat="1" ht="15">
      <c r="A347" s="1046">
        <v>6.2</v>
      </c>
      <c r="B347" s="1304" t="s">
        <v>155</v>
      </c>
      <c r="C347" s="987"/>
      <c r="D347" s="986"/>
      <c r="E347" s="987"/>
      <c r="F347" s="987"/>
      <c r="G347" s="987"/>
      <c r="H347" s="987"/>
      <c r="I347" s="987"/>
      <c r="J347" s="987"/>
      <c r="K347" s="987"/>
      <c r="L347" s="988"/>
      <c r="M347" s="988"/>
      <c r="N347" s="988"/>
      <c r="O347" s="988"/>
      <c r="P347" s="987"/>
      <c r="Q347" s="987"/>
      <c r="R347" s="987"/>
      <c r="S347" s="987"/>
      <c r="T347" s="987">
        <v>1</v>
      </c>
      <c r="U347" s="987"/>
      <c r="V347" s="987"/>
      <c r="W347" s="987"/>
      <c r="X347" s="987"/>
      <c r="Y347" s="987"/>
      <c r="Z347" s="987"/>
      <c r="AA347" s="987">
        <f t="shared" si="23"/>
        <v>1</v>
      </c>
      <c r="AB347" s="987" t="s">
        <v>53</v>
      </c>
      <c r="AC347" s="987" t="s">
        <v>69</v>
      </c>
      <c r="AD347" s="1036" t="s">
        <v>32</v>
      </c>
      <c r="AE347" s="1048">
        <v>0.04</v>
      </c>
      <c r="AF347" s="1329">
        <v>0.04</v>
      </c>
      <c r="AG347" s="1329">
        <v>0.04</v>
      </c>
      <c r="AH347" s="989">
        <f t="shared" si="22"/>
        <v>296770.5</v>
      </c>
    </row>
    <row r="348" spans="1:34" s="638" customFormat="1" ht="25.5">
      <c r="A348" s="1036" t="s">
        <v>161</v>
      </c>
      <c r="B348" s="986" t="s">
        <v>629</v>
      </c>
      <c r="C348" s="987"/>
      <c r="D348" s="986"/>
      <c r="E348" s="987"/>
      <c r="F348" s="987"/>
      <c r="G348" s="987"/>
      <c r="H348" s="987"/>
      <c r="I348" s="987"/>
      <c r="J348" s="987"/>
      <c r="K348" s="987"/>
      <c r="L348" s="988"/>
      <c r="M348" s="988"/>
      <c r="N348" s="988"/>
      <c r="O348" s="988"/>
      <c r="P348" s="987"/>
      <c r="Q348" s="987"/>
      <c r="R348" s="987"/>
      <c r="S348" s="987"/>
      <c r="T348" s="987"/>
      <c r="U348" s="987"/>
      <c r="V348" s="987">
        <v>1</v>
      </c>
      <c r="W348" s="987"/>
      <c r="X348" s="987"/>
      <c r="Y348" s="987"/>
      <c r="Z348" s="987"/>
      <c r="AA348" s="987">
        <f t="shared" si="23"/>
        <v>1</v>
      </c>
      <c r="AB348" s="987" t="s">
        <v>53</v>
      </c>
      <c r="AC348" s="987" t="s">
        <v>71</v>
      </c>
      <c r="AD348" s="1036" t="s">
        <v>32</v>
      </c>
      <c r="AE348" s="990">
        <v>1</v>
      </c>
      <c r="AF348" s="1330">
        <v>1</v>
      </c>
      <c r="AG348" s="1330">
        <v>1.3</v>
      </c>
      <c r="AH348" s="989">
        <f t="shared" si="22"/>
        <v>370129.5</v>
      </c>
    </row>
    <row r="349" spans="1:34" s="638" customFormat="1" ht="15">
      <c r="A349" s="1036" t="s">
        <v>174</v>
      </c>
      <c r="B349" s="986" t="s">
        <v>735</v>
      </c>
      <c r="C349" s="987"/>
      <c r="D349" s="986"/>
      <c r="E349" s="987"/>
      <c r="F349" s="987"/>
      <c r="G349" s="987"/>
      <c r="H349" s="987"/>
      <c r="I349" s="987"/>
      <c r="J349" s="987"/>
      <c r="K349" s="987"/>
      <c r="L349" s="988"/>
      <c r="M349" s="988"/>
      <c r="N349" s="988"/>
      <c r="O349" s="988"/>
      <c r="P349" s="987"/>
      <c r="Q349" s="987"/>
      <c r="R349" s="987"/>
      <c r="S349" s="987"/>
      <c r="T349" s="987"/>
      <c r="U349" s="987"/>
      <c r="V349" s="987"/>
      <c r="W349" s="987"/>
      <c r="X349" s="987"/>
      <c r="Y349" s="987"/>
      <c r="Z349" s="987"/>
      <c r="AA349" s="987"/>
      <c r="AB349" s="987"/>
      <c r="AC349" s="987"/>
      <c r="AD349" s="1036"/>
      <c r="AE349" s="990"/>
      <c r="AF349" s="1322"/>
      <c r="AG349" s="1322"/>
      <c r="AH349" s="989"/>
    </row>
    <row r="350" spans="1:34" s="646" customFormat="1" ht="63.75">
      <c r="A350" s="1294" t="s">
        <v>680</v>
      </c>
      <c r="B350" s="1312" t="s">
        <v>589</v>
      </c>
      <c r="C350" s="1038"/>
      <c r="D350" s="1039"/>
      <c r="E350" s="1038"/>
      <c r="F350" s="1038"/>
      <c r="G350" s="1038"/>
      <c r="H350" s="1038"/>
      <c r="I350" s="1038"/>
      <c r="J350" s="1038"/>
      <c r="K350" s="1038"/>
      <c r="L350" s="1040"/>
      <c r="M350" s="1040"/>
      <c r="N350" s="1040"/>
      <c r="O350" s="1040"/>
      <c r="P350" s="1038"/>
      <c r="Q350" s="1038"/>
      <c r="R350" s="1038"/>
      <c r="S350" s="1038"/>
      <c r="T350" s="1038">
        <v>1</v>
      </c>
      <c r="U350" s="1038">
        <v>1</v>
      </c>
      <c r="V350" s="1038"/>
      <c r="W350" s="1038"/>
      <c r="X350" s="1038"/>
      <c r="Y350" s="1038"/>
      <c r="Z350" s="1038"/>
      <c r="AA350" s="1038">
        <f t="shared" si="23"/>
        <v>2</v>
      </c>
      <c r="AB350" s="1038" t="s">
        <v>53</v>
      </c>
      <c r="AC350" s="1294" t="s">
        <v>598</v>
      </c>
      <c r="AD350" s="1041" t="s">
        <v>32</v>
      </c>
      <c r="AE350" s="1325">
        <v>0.5</v>
      </c>
      <c r="AF350" s="1325">
        <v>0.5</v>
      </c>
      <c r="AG350" s="1325">
        <v>0.8</v>
      </c>
      <c r="AH350" s="1043">
        <f t="shared" si="22"/>
        <v>630220.5</v>
      </c>
    </row>
    <row r="351" spans="1:34" s="638" customFormat="1" ht="15">
      <c r="A351" s="1046">
        <v>7.2</v>
      </c>
      <c r="B351" s="1304" t="s">
        <v>683</v>
      </c>
      <c r="C351" s="987"/>
      <c r="D351" s="986"/>
      <c r="E351" s="987"/>
      <c r="F351" s="987"/>
      <c r="G351" s="987"/>
      <c r="H351" s="987"/>
      <c r="I351" s="987"/>
      <c r="J351" s="987"/>
      <c r="K351" s="987"/>
      <c r="L351" s="988"/>
      <c r="M351" s="988"/>
      <c r="N351" s="988"/>
      <c r="O351" s="988"/>
      <c r="P351" s="987"/>
      <c r="Q351" s="987"/>
      <c r="R351" s="987"/>
      <c r="S351" s="987"/>
      <c r="T351" s="987"/>
      <c r="U351" s="987"/>
      <c r="V351" s="987"/>
      <c r="W351" s="987"/>
      <c r="X351" s="987"/>
      <c r="Y351" s="987"/>
      <c r="Z351" s="987"/>
      <c r="AA351" s="987"/>
      <c r="AB351" s="987"/>
      <c r="AC351" s="1046"/>
      <c r="AD351" s="1036"/>
      <c r="AE351" s="1048"/>
      <c r="AF351" s="1048"/>
      <c r="AG351" s="1048"/>
      <c r="AH351" s="989"/>
    </row>
    <row r="352" spans="1:34" s="646" customFormat="1" ht="38.25">
      <c r="A352" s="1294" t="s">
        <v>684</v>
      </c>
      <c r="B352" s="1312" t="s">
        <v>592</v>
      </c>
      <c r="C352" s="1038"/>
      <c r="D352" s="1039"/>
      <c r="E352" s="1038"/>
      <c r="F352" s="1038"/>
      <c r="G352" s="1038"/>
      <c r="H352" s="1038"/>
      <c r="I352" s="1038"/>
      <c r="J352" s="1038"/>
      <c r="K352" s="1038"/>
      <c r="L352" s="1040"/>
      <c r="M352" s="1040"/>
      <c r="N352" s="1040"/>
      <c r="O352" s="1040"/>
      <c r="P352" s="1038"/>
      <c r="Q352" s="1038"/>
      <c r="R352" s="1038"/>
      <c r="S352" s="1038"/>
      <c r="T352" s="1038"/>
      <c r="U352" s="1038">
        <v>1</v>
      </c>
      <c r="V352" s="1038"/>
      <c r="W352" s="1038"/>
      <c r="X352" s="1038"/>
      <c r="Y352" s="1038"/>
      <c r="Z352" s="1038"/>
      <c r="AA352" s="1038">
        <f t="shared" si="23"/>
        <v>1</v>
      </c>
      <c r="AB352" s="1038" t="s">
        <v>53</v>
      </c>
      <c r="AC352" s="1294" t="s">
        <v>106</v>
      </c>
      <c r="AD352" s="1041" t="s">
        <v>32</v>
      </c>
      <c r="AE352" s="1325">
        <v>0.5</v>
      </c>
      <c r="AF352" s="1325">
        <v>0.5</v>
      </c>
      <c r="AG352" s="1325">
        <v>0.65</v>
      </c>
      <c r="AH352" s="1043">
        <f t="shared" si="22"/>
        <v>333450</v>
      </c>
    </row>
    <row r="353" spans="1:34" s="646" customFormat="1" ht="38.25">
      <c r="A353" s="1294" t="s">
        <v>685</v>
      </c>
      <c r="B353" s="1312" t="s">
        <v>599</v>
      </c>
      <c r="C353" s="1038"/>
      <c r="D353" s="1039"/>
      <c r="E353" s="1038"/>
      <c r="F353" s="1038"/>
      <c r="G353" s="1038"/>
      <c r="H353" s="1038"/>
      <c r="I353" s="1038"/>
      <c r="J353" s="1038"/>
      <c r="K353" s="1038"/>
      <c r="L353" s="1040"/>
      <c r="M353" s="1040"/>
      <c r="N353" s="1040"/>
      <c r="O353" s="1040"/>
      <c r="P353" s="1038"/>
      <c r="Q353" s="1038"/>
      <c r="R353" s="1038"/>
      <c r="S353" s="1038"/>
      <c r="T353" s="1038"/>
      <c r="U353" s="1038">
        <v>1</v>
      </c>
      <c r="V353" s="1038"/>
      <c r="W353" s="1038"/>
      <c r="X353" s="1038"/>
      <c r="Y353" s="1038"/>
      <c r="Z353" s="1038"/>
      <c r="AA353" s="1038">
        <f t="shared" si="23"/>
        <v>1</v>
      </c>
      <c r="AB353" s="1038" t="s">
        <v>53</v>
      </c>
      <c r="AC353" s="1294" t="s">
        <v>106</v>
      </c>
      <c r="AD353" s="1041" t="s">
        <v>32</v>
      </c>
      <c r="AE353" s="1294">
        <v>0.2</v>
      </c>
      <c r="AF353" s="1294">
        <v>0.2</v>
      </c>
      <c r="AG353" s="1294">
        <v>0.3</v>
      </c>
      <c r="AH353" s="1043">
        <f t="shared" si="22"/>
        <v>333450</v>
      </c>
    </row>
    <row r="354" spans="1:34" s="638" customFormat="1" ht="36" customHeight="1">
      <c r="A354" s="1036" t="s">
        <v>162</v>
      </c>
      <c r="B354" s="986" t="s">
        <v>233</v>
      </c>
      <c r="C354" s="987"/>
      <c r="D354" s="986"/>
      <c r="E354" s="987"/>
      <c r="F354" s="987"/>
      <c r="G354" s="987"/>
      <c r="H354" s="987"/>
      <c r="I354" s="987"/>
      <c r="J354" s="987"/>
      <c r="K354" s="987"/>
      <c r="L354" s="988"/>
      <c r="M354" s="988"/>
      <c r="N354" s="988"/>
      <c r="O354" s="988"/>
      <c r="P354" s="987"/>
      <c r="Q354" s="987"/>
      <c r="R354" s="987"/>
      <c r="S354" s="987"/>
      <c r="T354" s="987"/>
      <c r="U354" s="987">
        <v>1</v>
      </c>
      <c r="V354" s="987"/>
      <c r="W354" s="987"/>
      <c r="X354" s="987"/>
      <c r="Y354" s="987"/>
      <c r="Z354" s="987"/>
      <c r="AA354" s="987">
        <f t="shared" si="23"/>
        <v>1</v>
      </c>
      <c r="AB354" s="987" t="s">
        <v>1</v>
      </c>
      <c r="AC354" s="987" t="s">
        <v>106</v>
      </c>
      <c r="AD354" s="1036" t="s">
        <v>32</v>
      </c>
      <c r="AE354" s="990">
        <v>6.0000000000000001E-3</v>
      </c>
      <c r="AF354" s="1322">
        <v>6.0000000000000001E-3</v>
      </c>
      <c r="AG354" s="1322">
        <v>6.0000000000000001E-3</v>
      </c>
      <c r="AH354" s="989">
        <f t="shared" si="22"/>
        <v>333450</v>
      </c>
    </row>
    <row r="355" spans="1:34" s="638" customFormat="1" ht="25.5">
      <c r="A355" s="1044" t="s">
        <v>165</v>
      </c>
      <c r="B355" s="1359" t="s">
        <v>736</v>
      </c>
      <c r="C355" s="1046"/>
      <c r="D355" s="1045"/>
      <c r="E355" s="1046"/>
      <c r="F355" s="1046"/>
      <c r="G355" s="1046"/>
      <c r="H355" s="1046"/>
      <c r="I355" s="1046"/>
      <c r="J355" s="1046"/>
      <c r="K355" s="1046"/>
      <c r="L355" s="1047"/>
      <c r="M355" s="1047"/>
      <c r="N355" s="1047"/>
      <c r="O355" s="1047"/>
      <c r="P355" s="1046"/>
      <c r="Q355" s="1046"/>
      <c r="R355" s="1046"/>
      <c r="S355" s="1046"/>
      <c r="T355" s="1046"/>
      <c r="U355" s="1046"/>
      <c r="V355" s="1046"/>
      <c r="W355" s="1046"/>
      <c r="X355" s="1046"/>
      <c r="Y355" s="1046"/>
      <c r="Z355" s="1046"/>
      <c r="AA355" s="1046">
        <f t="shared" si="23"/>
        <v>0</v>
      </c>
      <c r="AB355" s="1046"/>
      <c r="AC355" s="1046"/>
      <c r="AD355" s="1044"/>
      <c r="AE355" s="1048"/>
      <c r="AF355" s="1049"/>
      <c r="AG355" s="1049"/>
      <c r="AH355" s="1050">
        <f t="shared" si="22"/>
        <v>0</v>
      </c>
    </row>
    <row r="356" spans="1:34" s="646" customFormat="1" ht="15">
      <c r="A356" s="1297" t="s">
        <v>691</v>
      </c>
      <c r="B356" s="1295" t="s">
        <v>168</v>
      </c>
      <c r="C356" s="1294"/>
      <c r="D356" s="1295"/>
      <c r="E356" s="1294"/>
      <c r="F356" s="1294"/>
      <c r="G356" s="1294"/>
      <c r="H356" s="1294"/>
      <c r="I356" s="1294"/>
      <c r="J356" s="1294"/>
      <c r="K356" s="1294"/>
      <c r="L356" s="1296"/>
      <c r="M356" s="1296"/>
      <c r="N356" s="1296"/>
      <c r="O356" s="1296"/>
      <c r="P356" s="1294"/>
      <c r="Q356" s="1294"/>
      <c r="R356" s="1294"/>
      <c r="S356" s="1294"/>
      <c r="T356" s="1294">
        <v>1</v>
      </c>
      <c r="U356" s="1294"/>
      <c r="V356" s="1294"/>
      <c r="W356" s="1294"/>
      <c r="X356" s="1294"/>
      <c r="Y356" s="1294"/>
      <c r="Z356" s="1294"/>
      <c r="AA356" s="1294">
        <f t="shared" si="23"/>
        <v>1</v>
      </c>
      <c r="AB356" s="1294" t="s">
        <v>53</v>
      </c>
      <c r="AC356" s="1294" t="s">
        <v>69</v>
      </c>
      <c r="AD356" s="1297" t="s">
        <v>32</v>
      </c>
      <c r="AE356" s="1325">
        <v>0.05</v>
      </c>
      <c r="AF356" s="1331">
        <v>0</v>
      </c>
      <c r="AG356" s="1331">
        <v>0.05</v>
      </c>
      <c r="AH356" s="1298">
        <f t="shared" si="22"/>
        <v>296770.5</v>
      </c>
    </row>
    <row r="357" spans="1:34" s="646" customFormat="1" ht="15">
      <c r="A357" s="1297" t="s">
        <v>692</v>
      </c>
      <c r="B357" s="1295" t="s">
        <v>169</v>
      </c>
      <c r="C357" s="1294"/>
      <c r="D357" s="1295"/>
      <c r="E357" s="1294"/>
      <c r="F357" s="1294"/>
      <c r="G357" s="1294"/>
      <c r="H357" s="1294"/>
      <c r="I357" s="1294"/>
      <c r="J357" s="1294"/>
      <c r="K357" s="1294"/>
      <c r="L357" s="1296"/>
      <c r="M357" s="1296"/>
      <c r="N357" s="1296"/>
      <c r="O357" s="1296"/>
      <c r="P357" s="1294"/>
      <c r="Q357" s="1294"/>
      <c r="R357" s="1294"/>
      <c r="S357" s="1294"/>
      <c r="T357" s="1294">
        <v>1</v>
      </c>
      <c r="U357" s="1294"/>
      <c r="V357" s="1294"/>
      <c r="W357" s="1294"/>
      <c r="X357" s="1294"/>
      <c r="Y357" s="1294"/>
      <c r="Z357" s="1294"/>
      <c r="AA357" s="1294">
        <f t="shared" si="23"/>
        <v>1</v>
      </c>
      <c r="AB357" s="1294" t="s">
        <v>53</v>
      </c>
      <c r="AC357" s="1294" t="s">
        <v>69</v>
      </c>
      <c r="AD357" s="1297" t="s">
        <v>32</v>
      </c>
      <c r="AE357" s="1325">
        <v>0.1</v>
      </c>
      <c r="AF357" s="1331">
        <v>0</v>
      </c>
      <c r="AG357" s="1331">
        <v>0.1</v>
      </c>
      <c r="AH357" s="1298">
        <f t="shared" si="22"/>
        <v>296770.5</v>
      </c>
    </row>
    <row r="358" spans="1:34" s="646" customFormat="1" ht="25.5">
      <c r="A358" s="1046">
        <v>10</v>
      </c>
      <c r="B358" s="1304" t="s">
        <v>593</v>
      </c>
      <c r="C358" s="1046"/>
      <c r="D358" s="1045"/>
      <c r="E358" s="1046"/>
      <c r="F358" s="1046"/>
      <c r="G358" s="1046"/>
      <c r="H358" s="1046"/>
      <c r="I358" s="1046"/>
      <c r="J358" s="1046"/>
      <c r="K358" s="1046"/>
      <c r="L358" s="1047"/>
      <c r="M358" s="1047"/>
      <c r="N358" s="1047"/>
      <c r="O358" s="1047"/>
      <c r="P358" s="1046"/>
      <c r="Q358" s="1046"/>
      <c r="R358" s="1046"/>
      <c r="S358" s="1046"/>
      <c r="T358" s="1046"/>
      <c r="U358" s="1046"/>
      <c r="V358" s="1046"/>
      <c r="W358" s="1046"/>
      <c r="X358" s="1046"/>
      <c r="Y358" s="1046"/>
      <c r="Z358" s="1046"/>
      <c r="AA358" s="1046"/>
      <c r="AB358" s="1046"/>
      <c r="AC358" s="1046"/>
      <c r="AD358" s="1044"/>
      <c r="AE358" s="1046"/>
      <c r="AF358" s="1046"/>
      <c r="AG358" s="1046"/>
      <c r="AH358" s="1050"/>
    </row>
    <row r="359" spans="1:34" s="646" customFormat="1" ht="15">
      <c r="A359" s="1294">
        <v>10.1</v>
      </c>
      <c r="B359" s="1312" t="s">
        <v>594</v>
      </c>
      <c r="C359" s="1294"/>
      <c r="D359" s="1295"/>
      <c r="E359" s="1294"/>
      <c r="F359" s="1294"/>
      <c r="G359" s="1294"/>
      <c r="H359" s="1294"/>
      <c r="I359" s="1294"/>
      <c r="J359" s="1294"/>
      <c r="K359" s="1294"/>
      <c r="L359" s="1296"/>
      <c r="M359" s="1296"/>
      <c r="N359" s="1296"/>
      <c r="O359" s="1296"/>
      <c r="P359" s="1294"/>
      <c r="Q359" s="1294"/>
      <c r="R359" s="1294"/>
      <c r="S359" s="1294"/>
      <c r="T359" s="1294"/>
      <c r="U359" s="1294">
        <v>1</v>
      </c>
      <c r="V359" s="1294"/>
      <c r="W359" s="1294"/>
      <c r="X359" s="1294"/>
      <c r="Y359" s="1294"/>
      <c r="Z359" s="1294"/>
      <c r="AA359" s="1294">
        <f t="shared" si="23"/>
        <v>1</v>
      </c>
      <c r="AB359" s="1294" t="s">
        <v>53</v>
      </c>
      <c r="AC359" s="1294" t="s">
        <v>106</v>
      </c>
      <c r="AD359" s="1297" t="s">
        <v>32</v>
      </c>
      <c r="AE359" s="1325">
        <v>0.08</v>
      </c>
      <c r="AF359" s="1325">
        <v>0.08</v>
      </c>
      <c r="AG359" s="1325">
        <v>0.1</v>
      </c>
      <c r="AH359" s="1298">
        <f t="shared" si="22"/>
        <v>333450</v>
      </c>
    </row>
    <row r="360" spans="1:34" s="646" customFormat="1" ht="15">
      <c r="A360" s="1294">
        <v>10.199999999999999</v>
      </c>
      <c r="B360" s="1312" t="s">
        <v>595</v>
      </c>
      <c r="C360" s="1294"/>
      <c r="D360" s="1295"/>
      <c r="E360" s="1294"/>
      <c r="F360" s="1294"/>
      <c r="G360" s="1294"/>
      <c r="H360" s="1294"/>
      <c r="I360" s="1294"/>
      <c r="J360" s="1294"/>
      <c r="K360" s="1294"/>
      <c r="L360" s="1296"/>
      <c r="M360" s="1296"/>
      <c r="N360" s="1296"/>
      <c r="O360" s="1296"/>
      <c r="P360" s="1294"/>
      <c r="Q360" s="1294"/>
      <c r="R360" s="1294"/>
      <c r="S360" s="1294"/>
      <c r="T360" s="1294"/>
      <c r="U360" s="1294">
        <v>1</v>
      </c>
      <c r="V360" s="1294"/>
      <c r="W360" s="1294"/>
      <c r="X360" s="1294"/>
      <c r="Y360" s="1294"/>
      <c r="Z360" s="1294"/>
      <c r="AA360" s="1294">
        <f t="shared" si="23"/>
        <v>1</v>
      </c>
      <c r="AB360" s="1294" t="s">
        <v>53</v>
      </c>
      <c r="AC360" s="1294" t="s">
        <v>106</v>
      </c>
      <c r="AD360" s="1297" t="s">
        <v>32</v>
      </c>
      <c r="AE360" s="1325">
        <v>0.1</v>
      </c>
      <c r="AF360" s="1325">
        <v>0.1</v>
      </c>
      <c r="AG360" s="1325">
        <v>0.15</v>
      </c>
      <c r="AH360" s="1298">
        <f t="shared" si="22"/>
        <v>333450</v>
      </c>
    </row>
    <row r="361" spans="1:34" s="646" customFormat="1" ht="25.5">
      <c r="A361" s="1046">
        <v>11</v>
      </c>
      <c r="B361" s="1304" t="s">
        <v>596</v>
      </c>
      <c r="C361" s="1046"/>
      <c r="D361" s="1045"/>
      <c r="E361" s="1046"/>
      <c r="F361" s="1046"/>
      <c r="G361" s="1046"/>
      <c r="H361" s="1046"/>
      <c r="I361" s="1046"/>
      <c r="J361" s="1046"/>
      <c r="K361" s="1046"/>
      <c r="L361" s="1047"/>
      <c r="M361" s="1047"/>
      <c r="N361" s="1047"/>
      <c r="O361" s="1047"/>
      <c r="P361" s="1046"/>
      <c r="Q361" s="1046"/>
      <c r="R361" s="1046"/>
      <c r="S361" s="1046"/>
      <c r="T361" s="1046"/>
      <c r="U361" s="1046"/>
      <c r="V361" s="1046"/>
      <c r="W361" s="1046"/>
      <c r="X361" s="1046"/>
      <c r="Y361" s="1046"/>
      <c r="Z361" s="1046"/>
      <c r="AA361" s="1046"/>
      <c r="AB361" s="1046"/>
      <c r="AC361" s="1046"/>
      <c r="AD361" s="1044"/>
      <c r="AE361" s="1046"/>
      <c r="AF361" s="1046"/>
      <c r="AG361" s="1046"/>
      <c r="AH361" s="1050"/>
    </row>
    <row r="362" spans="1:34" s="646" customFormat="1" ht="15">
      <c r="A362" s="1294">
        <v>11.1</v>
      </c>
      <c r="B362" s="1312" t="s">
        <v>594</v>
      </c>
      <c r="C362" s="1294"/>
      <c r="D362" s="1295"/>
      <c r="E362" s="1294"/>
      <c r="F362" s="1294"/>
      <c r="G362" s="1294"/>
      <c r="H362" s="1294"/>
      <c r="I362" s="1294"/>
      <c r="J362" s="1294"/>
      <c r="K362" s="1294"/>
      <c r="L362" s="1296"/>
      <c r="M362" s="1296"/>
      <c r="N362" s="1296"/>
      <c r="O362" s="1296"/>
      <c r="P362" s="1294"/>
      <c r="Q362" s="1294"/>
      <c r="R362" s="1294"/>
      <c r="S362" s="1294"/>
      <c r="T362" s="1294">
        <v>1</v>
      </c>
      <c r="U362" s="1294"/>
      <c r="V362" s="1294"/>
      <c r="W362" s="1294"/>
      <c r="X362" s="1294"/>
      <c r="Y362" s="1294"/>
      <c r="Z362" s="1294"/>
      <c r="AA362" s="1294">
        <f t="shared" si="23"/>
        <v>1</v>
      </c>
      <c r="AB362" s="1294" t="s">
        <v>53</v>
      </c>
      <c r="AC362" s="1294" t="s">
        <v>69</v>
      </c>
      <c r="AD362" s="1297" t="s">
        <v>32</v>
      </c>
      <c r="AE362" s="1325">
        <v>0.04</v>
      </c>
      <c r="AF362" s="1325">
        <v>0.04</v>
      </c>
      <c r="AG362" s="1325">
        <v>0.04</v>
      </c>
      <c r="AH362" s="1298">
        <f t="shared" si="22"/>
        <v>296770.5</v>
      </c>
    </row>
    <row r="363" spans="1:34" s="646" customFormat="1" ht="15">
      <c r="A363" s="1294">
        <v>11.2</v>
      </c>
      <c r="B363" s="1312" t="s">
        <v>595</v>
      </c>
      <c r="C363" s="1294"/>
      <c r="D363" s="1295"/>
      <c r="E363" s="1294"/>
      <c r="F363" s="1294"/>
      <c r="G363" s="1294"/>
      <c r="H363" s="1294"/>
      <c r="I363" s="1294"/>
      <c r="J363" s="1294"/>
      <c r="K363" s="1294"/>
      <c r="L363" s="1296"/>
      <c r="M363" s="1296"/>
      <c r="N363" s="1296"/>
      <c r="O363" s="1296"/>
      <c r="P363" s="1294"/>
      <c r="Q363" s="1294"/>
      <c r="R363" s="1294"/>
      <c r="S363" s="1294"/>
      <c r="T363" s="1294">
        <v>1</v>
      </c>
      <c r="U363" s="1294"/>
      <c r="V363" s="1294"/>
      <c r="W363" s="1294"/>
      <c r="X363" s="1294"/>
      <c r="Y363" s="1294"/>
      <c r="Z363" s="1294"/>
      <c r="AA363" s="1294">
        <f t="shared" si="23"/>
        <v>1</v>
      </c>
      <c r="AB363" s="1294" t="s">
        <v>53</v>
      </c>
      <c r="AC363" s="1294" t="s">
        <v>69</v>
      </c>
      <c r="AD363" s="1297" t="s">
        <v>32</v>
      </c>
      <c r="AE363" s="1325">
        <v>0.03</v>
      </c>
      <c r="AF363" s="1325">
        <v>0.03</v>
      </c>
      <c r="AG363" s="1325">
        <v>0.03</v>
      </c>
      <c r="AH363" s="1298">
        <f t="shared" si="22"/>
        <v>296770.5</v>
      </c>
    </row>
    <row r="364" spans="1:34" s="638" customFormat="1" ht="25.5">
      <c r="A364" s="1044" t="s">
        <v>184</v>
      </c>
      <c r="B364" s="1045" t="s">
        <v>230</v>
      </c>
      <c r="C364" s="1046"/>
      <c r="D364" s="1045"/>
      <c r="E364" s="1046"/>
      <c r="F364" s="1046"/>
      <c r="G364" s="1046"/>
      <c r="H364" s="1046"/>
      <c r="I364" s="1046"/>
      <c r="J364" s="1046"/>
      <c r="K364" s="1046"/>
      <c r="L364" s="1047"/>
      <c r="M364" s="1047"/>
      <c r="N364" s="1047"/>
      <c r="O364" s="1047"/>
      <c r="P364" s="1046"/>
      <c r="Q364" s="1046"/>
      <c r="R364" s="1046"/>
      <c r="S364" s="1046"/>
      <c r="T364" s="1046"/>
      <c r="U364" s="1046">
        <v>1</v>
      </c>
      <c r="V364" s="1046"/>
      <c r="W364" s="1046"/>
      <c r="X364" s="1046"/>
      <c r="Y364" s="1046"/>
      <c r="Z364" s="1046"/>
      <c r="AA364" s="1046">
        <f t="shared" si="23"/>
        <v>1</v>
      </c>
      <c r="AB364" s="1046" t="s">
        <v>1</v>
      </c>
      <c r="AC364" s="1046" t="s">
        <v>106</v>
      </c>
      <c r="AD364" s="1044" t="s">
        <v>32</v>
      </c>
      <c r="AE364" s="1048">
        <v>0.107</v>
      </c>
      <c r="AF364" s="1049">
        <v>3.3000000000000002E-2</v>
      </c>
      <c r="AG364" s="1049">
        <v>0.16700000000000001</v>
      </c>
      <c r="AH364" s="1050">
        <f t="shared" si="22"/>
        <v>333450</v>
      </c>
    </row>
    <row r="365" spans="1:34" s="638" customFormat="1" ht="15">
      <c r="A365" s="1044" t="s">
        <v>185</v>
      </c>
      <c r="B365" s="1045" t="s">
        <v>179</v>
      </c>
      <c r="C365" s="1046"/>
      <c r="D365" s="1045"/>
      <c r="E365" s="1046"/>
      <c r="F365" s="1046"/>
      <c r="G365" s="1046"/>
      <c r="H365" s="1046"/>
      <c r="I365" s="1046"/>
      <c r="J365" s="1046"/>
      <c r="K365" s="1046"/>
      <c r="L365" s="1047"/>
      <c r="M365" s="1047"/>
      <c r="N365" s="1047"/>
      <c r="O365" s="1047"/>
      <c r="P365" s="1046"/>
      <c r="Q365" s="1046"/>
      <c r="R365" s="1046"/>
      <c r="S365" s="1046"/>
      <c r="T365" s="1046"/>
      <c r="U365" s="1046"/>
      <c r="V365" s="1046"/>
      <c r="W365" s="1046"/>
      <c r="X365" s="1046"/>
      <c r="Y365" s="1046"/>
      <c r="Z365" s="1046"/>
      <c r="AA365" s="1046">
        <f t="shared" si="23"/>
        <v>0</v>
      </c>
      <c r="AB365" s="1046"/>
      <c r="AC365" s="1046"/>
      <c r="AD365" s="1044"/>
      <c r="AE365" s="1048"/>
      <c r="AF365" s="1049"/>
      <c r="AG365" s="1049"/>
      <c r="AH365" s="1050">
        <f t="shared" si="22"/>
        <v>0</v>
      </c>
    </row>
    <row r="366" spans="1:34" s="646" customFormat="1" ht="15">
      <c r="A366" s="1297" t="s">
        <v>227</v>
      </c>
      <c r="B366" s="1295" t="s">
        <v>181</v>
      </c>
      <c r="C366" s="1046"/>
      <c r="D366" s="1045"/>
      <c r="E366" s="1046"/>
      <c r="F366" s="1046"/>
      <c r="G366" s="1046"/>
      <c r="H366" s="1046"/>
      <c r="I366" s="1046"/>
      <c r="J366" s="1046"/>
      <c r="K366" s="1046"/>
      <c r="L366" s="1047"/>
      <c r="M366" s="1047"/>
      <c r="N366" s="1047"/>
      <c r="O366" s="1047"/>
      <c r="P366" s="1046"/>
      <c r="Q366" s="1046"/>
      <c r="R366" s="1046"/>
      <c r="S366" s="1046"/>
      <c r="T366" s="1046">
        <v>1</v>
      </c>
      <c r="U366" s="1046"/>
      <c r="V366" s="1046"/>
      <c r="W366" s="1046"/>
      <c r="X366" s="1046"/>
      <c r="Y366" s="1046"/>
      <c r="Z366" s="1046"/>
      <c r="AA366" s="1046">
        <f t="shared" si="23"/>
        <v>1</v>
      </c>
      <c r="AB366" s="1046" t="s">
        <v>145</v>
      </c>
      <c r="AC366" s="1046" t="s">
        <v>69</v>
      </c>
      <c r="AD366" s="1044" t="s">
        <v>32</v>
      </c>
      <c r="AE366" s="1048">
        <v>0.1</v>
      </c>
      <c r="AF366" s="1049">
        <v>0.1</v>
      </c>
      <c r="AG366" s="1049">
        <v>0.1</v>
      </c>
      <c r="AH366" s="1050">
        <f t="shared" si="22"/>
        <v>296770.5</v>
      </c>
    </row>
    <row r="367" spans="1:34" s="646" customFormat="1" ht="15">
      <c r="A367" s="1297" t="s">
        <v>228</v>
      </c>
      <c r="B367" s="1295" t="s">
        <v>182</v>
      </c>
      <c r="C367" s="1046"/>
      <c r="D367" s="1045"/>
      <c r="E367" s="1046"/>
      <c r="F367" s="1046"/>
      <c r="G367" s="1046"/>
      <c r="H367" s="1046"/>
      <c r="I367" s="1046"/>
      <c r="J367" s="1046"/>
      <c r="K367" s="1046"/>
      <c r="L367" s="1047"/>
      <c r="M367" s="1047"/>
      <c r="N367" s="1047"/>
      <c r="O367" s="1047"/>
      <c r="P367" s="1046"/>
      <c r="Q367" s="1046"/>
      <c r="R367" s="1046"/>
      <c r="S367" s="1046"/>
      <c r="T367" s="1046">
        <v>1</v>
      </c>
      <c r="U367" s="1046"/>
      <c r="V367" s="1046"/>
      <c r="W367" s="1046"/>
      <c r="X367" s="1046"/>
      <c r="Y367" s="1046"/>
      <c r="Z367" s="1046"/>
      <c r="AA367" s="1046">
        <f t="shared" si="23"/>
        <v>1</v>
      </c>
      <c r="AB367" s="1046" t="s">
        <v>145</v>
      </c>
      <c r="AC367" s="1046" t="s">
        <v>69</v>
      </c>
      <c r="AD367" s="1044" t="s">
        <v>32</v>
      </c>
      <c r="AE367" s="1048">
        <v>0.15</v>
      </c>
      <c r="AF367" s="1049">
        <v>0.2</v>
      </c>
      <c r="AG367" s="1049">
        <v>0.2</v>
      </c>
      <c r="AH367" s="1050">
        <f t="shared" si="22"/>
        <v>296770.5</v>
      </c>
    </row>
    <row r="368" spans="1:34" s="638" customFormat="1" ht="25.5">
      <c r="A368" s="1036" t="s">
        <v>187</v>
      </c>
      <c r="B368" s="1304" t="s">
        <v>614</v>
      </c>
      <c r="C368" s="987"/>
      <c r="D368" s="986"/>
      <c r="E368" s="987"/>
      <c r="F368" s="987"/>
      <c r="G368" s="987"/>
      <c r="H368" s="987"/>
      <c r="I368" s="987"/>
      <c r="J368" s="987"/>
      <c r="K368" s="987"/>
      <c r="L368" s="988"/>
      <c r="M368" s="988"/>
      <c r="N368" s="988"/>
      <c r="O368" s="988"/>
      <c r="P368" s="987"/>
      <c r="Q368" s="987"/>
      <c r="R368" s="987"/>
      <c r="S368" s="987"/>
      <c r="T368" s="987"/>
      <c r="U368" s="987">
        <v>1</v>
      </c>
      <c r="V368" s="987"/>
      <c r="W368" s="987"/>
      <c r="X368" s="987"/>
      <c r="Y368" s="987"/>
      <c r="Z368" s="987"/>
      <c r="AA368" s="987">
        <f t="shared" si="23"/>
        <v>1</v>
      </c>
      <c r="AB368" s="987" t="s">
        <v>53</v>
      </c>
      <c r="AC368" s="987" t="s">
        <v>106</v>
      </c>
      <c r="AD368" s="1036" t="s">
        <v>32</v>
      </c>
      <c r="AE368" s="990">
        <v>0.5</v>
      </c>
      <c r="AF368" s="1322">
        <v>0.5</v>
      </c>
      <c r="AG368" s="1322">
        <v>0.65</v>
      </c>
      <c r="AH368" s="989">
        <f t="shared" si="22"/>
        <v>333450</v>
      </c>
    </row>
    <row r="369" spans="1:34" s="638" customFormat="1" ht="38.25">
      <c r="A369" s="1036" t="s">
        <v>194</v>
      </c>
      <c r="B369" s="1304" t="s">
        <v>977</v>
      </c>
      <c r="C369" s="987"/>
      <c r="D369" s="986"/>
      <c r="E369" s="987"/>
      <c r="F369" s="987"/>
      <c r="G369" s="987"/>
      <c r="H369" s="987"/>
      <c r="I369" s="987"/>
      <c r="J369" s="987"/>
      <c r="K369" s="987"/>
      <c r="L369" s="988"/>
      <c r="M369" s="988"/>
      <c r="N369" s="988"/>
      <c r="O369" s="988"/>
      <c r="P369" s="987"/>
      <c r="Q369" s="987"/>
      <c r="R369" s="987"/>
      <c r="S369" s="987"/>
      <c r="T369" s="987"/>
      <c r="U369" s="987">
        <v>1</v>
      </c>
      <c r="V369" s="987"/>
      <c r="W369" s="987"/>
      <c r="X369" s="987"/>
      <c r="Y369" s="987"/>
      <c r="Z369" s="987"/>
      <c r="AA369" s="987">
        <f t="shared" si="23"/>
        <v>1</v>
      </c>
      <c r="AB369" s="987" t="s">
        <v>53</v>
      </c>
      <c r="AC369" s="987" t="s">
        <v>106</v>
      </c>
      <c r="AD369" s="1036" t="s">
        <v>32</v>
      </c>
      <c r="AE369" s="990">
        <v>0.47</v>
      </c>
      <c r="AF369" s="1322">
        <v>0.47</v>
      </c>
      <c r="AG369" s="1322">
        <v>0.61099999999999999</v>
      </c>
      <c r="AH369" s="989">
        <f t="shared" si="22"/>
        <v>333450</v>
      </c>
    </row>
    <row r="370" spans="1:34" s="638" customFormat="1" ht="25.5">
      <c r="A370" s="1036" t="s">
        <v>195</v>
      </c>
      <c r="B370" s="986" t="s">
        <v>189</v>
      </c>
      <c r="C370" s="987"/>
      <c r="D370" s="986"/>
      <c r="E370" s="987"/>
      <c r="F370" s="987"/>
      <c r="G370" s="987"/>
      <c r="H370" s="987"/>
      <c r="I370" s="987"/>
      <c r="J370" s="987"/>
      <c r="K370" s="987"/>
      <c r="L370" s="988"/>
      <c r="M370" s="988"/>
      <c r="N370" s="988"/>
      <c r="O370" s="988"/>
      <c r="P370" s="987"/>
      <c r="Q370" s="987"/>
      <c r="R370" s="987"/>
      <c r="S370" s="987"/>
      <c r="T370" s="987"/>
      <c r="U370" s="987"/>
      <c r="V370" s="987"/>
      <c r="W370" s="987"/>
      <c r="X370" s="987"/>
      <c r="Y370" s="987"/>
      <c r="Z370" s="987"/>
      <c r="AA370" s="987">
        <f t="shared" si="23"/>
        <v>0</v>
      </c>
      <c r="AB370" s="987"/>
      <c r="AC370" s="987"/>
      <c r="AD370" s="1036"/>
      <c r="AE370" s="990"/>
      <c r="AF370" s="1322"/>
      <c r="AG370" s="1322"/>
      <c r="AH370" s="989">
        <f t="shared" si="22"/>
        <v>0</v>
      </c>
    </row>
    <row r="371" spans="1:34" s="646" customFormat="1" ht="15">
      <c r="A371" s="1041" t="s">
        <v>626</v>
      </c>
      <c r="B371" s="1039" t="s">
        <v>190</v>
      </c>
      <c r="C371" s="1038"/>
      <c r="D371" s="1039"/>
      <c r="E371" s="1038"/>
      <c r="F371" s="1038"/>
      <c r="G371" s="1038"/>
      <c r="H371" s="1038"/>
      <c r="I371" s="1038"/>
      <c r="J371" s="1038"/>
      <c r="K371" s="1038"/>
      <c r="L371" s="1040"/>
      <c r="M371" s="1040"/>
      <c r="N371" s="1040"/>
      <c r="O371" s="1040"/>
      <c r="P371" s="1038"/>
      <c r="Q371" s="1038"/>
      <c r="R371" s="1038"/>
      <c r="S371" s="1038">
        <v>1</v>
      </c>
      <c r="T371" s="1038"/>
      <c r="U371" s="1038"/>
      <c r="V371" s="1038"/>
      <c r="W371" s="1038"/>
      <c r="X371" s="1038"/>
      <c r="Y371" s="1038"/>
      <c r="Z371" s="1038"/>
      <c r="AA371" s="1038">
        <f t="shared" si="23"/>
        <v>1</v>
      </c>
      <c r="AB371" s="1038" t="s">
        <v>551</v>
      </c>
      <c r="AC371" s="1038" t="s">
        <v>68</v>
      </c>
      <c r="AD371" s="1041" t="s">
        <v>32</v>
      </c>
      <c r="AE371" s="1042">
        <v>1.6E-2</v>
      </c>
      <c r="AF371" s="1328">
        <v>1.6E-2</v>
      </c>
      <c r="AG371" s="1328">
        <v>1.6E-2</v>
      </c>
      <c r="AH371" s="1043">
        <f t="shared" si="22"/>
        <v>260091</v>
      </c>
    </row>
    <row r="372" spans="1:34" s="646" customFormat="1" ht="15">
      <c r="A372" s="1041" t="s">
        <v>627</v>
      </c>
      <c r="B372" s="1039" t="s">
        <v>191</v>
      </c>
      <c r="C372" s="1038"/>
      <c r="D372" s="1039"/>
      <c r="E372" s="1038"/>
      <c r="F372" s="1038"/>
      <c r="G372" s="1038"/>
      <c r="H372" s="1038"/>
      <c r="I372" s="1038"/>
      <c r="J372" s="1038"/>
      <c r="K372" s="1038"/>
      <c r="L372" s="1040"/>
      <c r="M372" s="1040"/>
      <c r="N372" s="1040"/>
      <c r="O372" s="1040"/>
      <c r="P372" s="1038"/>
      <c r="Q372" s="1038"/>
      <c r="R372" s="1038"/>
      <c r="S372" s="1038">
        <v>1</v>
      </c>
      <c r="T372" s="1038"/>
      <c r="U372" s="1038"/>
      <c r="V372" s="1038"/>
      <c r="W372" s="1038"/>
      <c r="X372" s="1038"/>
      <c r="Y372" s="1038"/>
      <c r="Z372" s="1038"/>
      <c r="AA372" s="1038">
        <f t="shared" si="23"/>
        <v>1</v>
      </c>
      <c r="AB372" s="1038" t="s">
        <v>551</v>
      </c>
      <c r="AC372" s="1038" t="s">
        <v>68</v>
      </c>
      <c r="AD372" s="1041" t="s">
        <v>32</v>
      </c>
      <c r="AE372" s="1042">
        <v>8.0000000000000002E-3</v>
      </c>
      <c r="AF372" s="1328">
        <v>8.0000000000000002E-3</v>
      </c>
      <c r="AG372" s="1328">
        <v>8.0000000000000002E-3</v>
      </c>
      <c r="AH372" s="1043">
        <f t="shared" si="22"/>
        <v>260091</v>
      </c>
    </row>
    <row r="373" spans="1:34" s="638" customFormat="1" ht="38.25">
      <c r="A373" s="1036" t="s">
        <v>210</v>
      </c>
      <c r="B373" s="986" t="s">
        <v>192</v>
      </c>
      <c r="C373" s="987"/>
      <c r="D373" s="986"/>
      <c r="E373" s="987"/>
      <c r="F373" s="987"/>
      <c r="G373" s="987"/>
      <c r="H373" s="987"/>
      <c r="I373" s="987"/>
      <c r="J373" s="987"/>
      <c r="K373" s="987"/>
      <c r="L373" s="988"/>
      <c r="M373" s="988"/>
      <c r="N373" s="988"/>
      <c r="O373" s="988"/>
      <c r="P373" s="987"/>
      <c r="Q373" s="987"/>
      <c r="R373" s="987"/>
      <c r="S373" s="987">
        <v>1</v>
      </c>
      <c r="T373" s="987"/>
      <c r="U373" s="987"/>
      <c r="V373" s="987"/>
      <c r="W373" s="987"/>
      <c r="X373" s="987"/>
      <c r="Y373" s="987"/>
      <c r="Z373" s="987"/>
      <c r="AA373" s="987">
        <f t="shared" si="23"/>
        <v>1</v>
      </c>
      <c r="AB373" s="987" t="s">
        <v>551</v>
      </c>
      <c r="AC373" s="987" t="s">
        <v>68</v>
      </c>
      <c r="AD373" s="1036" t="s">
        <v>32</v>
      </c>
      <c r="AE373" s="990">
        <v>4.0000000000000001E-3</v>
      </c>
      <c r="AF373" s="1322">
        <v>4.0000000000000001E-3</v>
      </c>
      <c r="AG373" s="1322">
        <v>4.0000000000000001E-3</v>
      </c>
      <c r="AH373" s="989">
        <f t="shared" si="22"/>
        <v>260091</v>
      </c>
    </row>
    <row r="374" spans="1:34" s="638" customFormat="1" ht="25.5">
      <c r="A374" s="1036" t="s">
        <v>296</v>
      </c>
      <c r="B374" s="986" t="s">
        <v>193</v>
      </c>
      <c r="C374" s="987"/>
      <c r="D374" s="986"/>
      <c r="E374" s="987"/>
      <c r="F374" s="987"/>
      <c r="G374" s="987"/>
      <c r="H374" s="987"/>
      <c r="I374" s="987"/>
      <c r="J374" s="987"/>
      <c r="K374" s="987"/>
      <c r="L374" s="988"/>
      <c r="M374" s="988"/>
      <c r="N374" s="988"/>
      <c r="O374" s="988"/>
      <c r="P374" s="987"/>
      <c r="Q374" s="987"/>
      <c r="R374" s="987"/>
      <c r="S374" s="987">
        <v>1</v>
      </c>
      <c r="T374" s="987"/>
      <c r="U374" s="987"/>
      <c r="V374" s="987"/>
      <c r="W374" s="987"/>
      <c r="X374" s="987"/>
      <c r="Y374" s="987"/>
      <c r="Z374" s="987"/>
      <c r="AA374" s="987">
        <f t="shared" si="23"/>
        <v>1</v>
      </c>
      <c r="AB374" s="987" t="s">
        <v>1</v>
      </c>
      <c r="AC374" s="987" t="s">
        <v>68</v>
      </c>
      <c r="AD374" s="1036" t="s">
        <v>32</v>
      </c>
      <c r="AE374" s="990">
        <v>0.01</v>
      </c>
      <c r="AF374" s="1322">
        <v>0.01</v>
      </c>
      <c r="AG374" s="1322">
        <v>0.01</v>
      </c>
      <c r="AH374" s="989">
        <f t="shared" si="22"/>
        <v>260091</v>
      </c>
    </row>
    <row r="375" spans="1:34" s="638" customFormat="1" ht="63.75">
      <c r="A375" s="1036" t="s">
        <v>298</v>
      </c>
      <c r="B375" s="986" t="s">
        <v>615</v>
      </c>
      <c r="C375" s="987"/>
      <c r="D375" s="986"/>
      <c r="E375" s="987"/>
      <c r="F375" s="987"/>
      <c r="G375" s="987"/>
      <c r="H375" s="987"/>
      <c r="I375" s="987"/>
      <c r="J375" s="987"/>
      <c r="K375" s="987"/>
      <c r="L375" s="988"/>
      <c r="M375" s="988"/>
      <c r="N375" s="988"/>
      <c r="O375" s="988"/>
      <c r="P375" s="987"/>
      <c r="Q375" s="987"/>
      <c r="R375" s="987"/>
      <c r="S375" s="987"/>
      <c r="T375" s="987">
        <v>1</v>
      </c>
      <c r="U375" s="987"/>
      <c r="V375" s="987"/>
      <c r="W375" s="987"/>
      <c r="X375" s="987"/>
      <c r="Y375" s="987"/>
      <c r="Z375" s="987"/>
      <c r="AA375" s="987">
        <f t="shared" si="23"/>
        <v>1</v>
      </c>
      <c r="AB375" s="987" t="s">
        <v>53</v>
      </c>
      <c r="AC375" s="987" t="s">
        <v>69</v>
      </c>
      <c r="AD375" s="1036" t="s">
        <v>32</v>
      </c>
      <c r="AE375" s="990">
        <v>0.05</v>
      </c>
      <c r="AF375" s="1322">
        <v>0.05</v>
      </c>
      <c r="AG375" s="1322">
        <v>6.5000000000000002E-2</v>
      </c>
      <c r="AH375" s="989">
        <f t="shared" si="22"/>
        <v>296770.5</v>
      </c>
    </row>
    <row r="376" spans="1:34" s="638" customFormat="1" ht="76.5">
      <c r="A376" s="1036" t="s">
        <v>300</v>
      </c>
      <c r="B376" s="986" t="s">
        <v>688</v>
      </c>
      <c r="C376" s="987"/>
      <c r="D376" s="986"/>
      <c r="E376" s="987"/>
      <c r="F376" s="987"/>
      <c r="G376" s="987"/>
      <c r="H376" s="987"/>
      <c r="I376" s="987"/>
      <c r="J376" s="987"/>
      <c r="K376" s="987"/>
      <c r="L376" s="988"/>
      <c r="M376" s="988"/>
      <c r="N376" s="988"/>
      <c r="O376" s="988"/>
      <c r="P376" s="987"/>
      <c r="Q376" s="987"/>
      <c r="R376" s="987"/>
      <c r="S376" s="987"/>
      <c r="T376" s="987">
        <v>1</v>
      </c>
      <c r="U376" s="987"/>
      <c r="V376" s="987"/>
      <c r="W376" s="987"/>
      <c r="X376" s="987"/>
      <c r="Y376" s="987"/>
      <c r="Z376" s="987"/>
      <c r="AA376" s="987">
        <f t="shared" si="23"/>
        <v>1</v>
      </c>
      <c r="AB376" s="987" t="s">
        <v>53</v>
      </c>
      <c r="AC376" s="987" t="s">
        <v>69</v>
      </c>
      <c r="AD376" s="1036" t="s">
        <v>32</v>
      </c>
      <c r="AE376" s="990">
        <v>0.05</v>
      </c>
      <c r="AF376" s="1322">
        <v>0.05</v>
      </c>
      <c r="AG376" s="1322">
        <v>6.5000000000000002E-2</v>
      </c>
      <c r="AH376" s="989">
        <f t="shared" si="22"/>
        <v>296770.5</v>
      </c>
    </row>
    <row r="377" spans="1:34" ht="22.15" customHeight="1">
      <c r="A377" s="938" t="s">
        <v>693</v>
      </c>
      <c r="B377" s="1390" t="s">
        <v>961</v>
      </c>
      <c r="C377" s="1390"/>
      <c r="D377" s="1390"/>
      <c r="E377" s="1390"/>
      <c r="F377" s="1390"/>
      <c r="G377" s="1390"/>
      <c r="H377" s="1390"/>
      <c r="I377" s="1390"/>
      <c r="J377" s="1390"/>
      <c r="K377" s="1390"/>
      <c r="L377" s="1390"/>
      <c r="M377" s="1390"/>
      <c r="N377" s="1390"/>
      <c r="O377" s="1390"/>
      <c r="P377" s="1390"/>
      <c r="Q377" s="1390"/>
      <c r="R377" s="1390"/>
      <c r="S377" s="1390"/>
      <c r="T377" s="1390"/>
      <c r="U377" s="1390"/>
      <c r="V377" s="1390"/>
      <c r="W377" s="1390"/>
      <c r="X377" s="1390"/>
      <c r="Y377" s="1390"/>
      <c r="Z377" s="1390"/>
      <c r="AA377" s="1390"/>
      <c r="AB377" s="1390"/>
      <c r="AC377" s="1390"/>
      <c r="AD377" s="1390"/>
      <c r="AE377" s="1390"/>
      <c r="AF377" s="165"/>
      <c r="AG377" s="827"/>
      <c r="AH377" s="165">
        <f t="shared" si="22"/>
        <v>0</v>
      </c>
    </row>
    <row r="378" spans="1:34" s="287" customFormat="1" ht="25.5">
      <c r="A378" s="1044" t="s">
        <v>33</v>
      </c>
      <c r="B378" s="1045" t="s">
        <v>978</v>
      </c>
      <c r="C378" s="1046"/>
      <c r="D378" s="1045"/>
      <c r="E378" s="1046"/>
      <c r="F378" s="1046"/>
      <c r="G378" s="1046"/>
      <c r="H378" s="1046"/>
      <c r="I378" s="1046"/>
      <c r="J378" s="1046"/>
      <c r="K378" s="1046"/>
      <c r="L378" s="1047"/>
      <c r="M378" s="1047"/>
      <c r="N378" s="1047"/>
      <c r="O378" s="1047"/>
      <c r="P378" s="1046"/>
      <c r="Q378" s="1046"/>
      <c r="R378" s="1046"/>
      <c r="S378" s="1046"/>
      <c r="T378" s="1046">
        <v>1</v>
      </c>
      <c r="U378" s="1046"/>
      <c r="V378" s="1046"/>
      <c r="W378" s="1046"/>
      <c r="X378" s="1046"/>
      <c r="Y378" s="1046"/>
      <c r="Z378" s="1046"/>
      <c r="AA378" s="1046">
        <f>SUM(C378:Z378)</f>
        <v>1</v>
      </c>
      <c r="AB378" s="1046" t="s">
        <v>53</v>
      </c>
      <c r="AC378" s="1046" t="s">
        <v>69</v>
      </c>
      <c r="AD378" s="1036" t="s">
        <v>32</v>
      </c>
      <c r="AE378" s="1048">
        <v>0.02</v>
      </c>
      <c r="AF378" s="1049">
        <v>0.02</v>
      </c>
      <c r="AG378" s="1049">
        <v>2.5999999999999999E-2</v>
      </c>
      <c r="AH378" s="1050">
        <f t="shared" si="22"/>
        <v>296770.5</v>
      </c>
    </row>
    <row r="379" spans="1:34" ht="22.15" customHeight="1">
      <c r="A379" s="110" t="s">
        <v>694</v>
      </c>
      <c r="B379" s="883" t="s">
        <v>258</v>
      </c>
      <c r="C379" s="884"/>
      <c r="D379" s="884"/>
      <c r="E379" s="884"/>
      <c r="F379" s="884"/>
      <c r="G379" s="884"/>
      <c r="H379" s="884"/>
      <c r="I379" s="884"/>
      <c r="J379" s="884"/>
      <c r="K379" s="884"/>
      <c r="L379" s="884"/>
      <c r="M379" s="884"/>
      <c r="N379" s="884"/>
      <c r="O379" s="884"/>
      <c r="P379" s="884"/>
      <c r="Q379" s="884"/>
      <c r="R379" s="884"/>
      <c r="S379" s="884"/>
      <c r="T379" s="884"/>
      <c r="U379" s="884"/>
      <c r="V379" s="884"/>
      <c r="W379" s="884"/>
      <c r="X379" s="884"/>
      <c r="Y379" s="884"/>
      <c r="Z379" s="884"/>
      <c r="AA379" s="884"/>
      <c r="AB379" s="884"/>
      <c r="AC379" s="884"/>
      <c r="AD379" s="884"/>
      <c r="AE379" s="884"/>
      <c r="AF379" s="887"/>
      <c r="AG379" s="104"/>
      <c r="AH379" s="457"/>
    </row>
    <row r="380" spans="1:34" ht="31.9" customHeight="1">
      <c r="A380" s="82" t="s">
        <v>33</v>
      </c>
      <c r="B380" s="1386" t="s">
        <v>630</v>
      </c>
      <c r="C380" s="1387"/>
      <c r="D380" s="1387"/>
      <c r="E380" s="1387"/>
      <c r="F380" s="1387"/>
      <c r="G380" s="1387"/>
      <c r="H380" s="1387"/>
      <c r="I380" s="1387"/>
      <c r="J380" s="1387"/>
      <c r="K380" s="1387"/>
      <c r="L380" s="1387"/>
      <c r="M380" s="1387"/>
      <c r="N380" s="1387"/>
      <c r="O380" s="1387"/>
      <c r="P380" s="1387"/>
      <c r="Q380" s="1387"/>
      <c r="R380" s="1387"/>
      <c r="S380" s="1387"/>
      <c r="T380" s="1387"/>
      <c r="U380" s="1387"/>
      <c r="V380" s="1387"/>
      <c r="W380" s="1387"/>
      <c r="X380" s="1387"/>
      <c r="Y380" s="1387"/>
      <c r="Z380" s="1387"/>
      <c r="AA380" s="1387"/>
      <c r="AB380" s="1387"/>
      <c r="AC380" s="1387"/>
      <c r="AD380" s="1388"/>
      <c r="AE380" s="78"/>
      <c r="AF380" s="103"/>
      <c r="AG380" s="103"/>
      <c r="AH380" s="113"/>
    </row>
    <row r="381" spans="1:34" ht="31.9" customHeight="1">
      <c r="A381" s="82" t="s">
        <v>34</v>
      </c>
      <c r="B381" s="1386" t="s">
        <v>737</v>
      </c>
      <c r="C381" s="1387"/>
      <c r="D381" s="1387"/>
      <c r="E381" s="1387"/>
      <c r="F381" s="1387"/>
      <c r="G381" s="1387"/>
      <c r="H381" s="1387"/>
      <c r="I381" s="1387"/>
      <c r="J381" s="1387"/>
      <c r="K381" s="1387"/>
      <c r="L381" s="1387"/>
      <c r="M381" s="1387"/>
      <c r="N381" s="1387"/>
      <c r="O381" s="1387"/>
      <c r="P381" s="1387"/>
      <c r="Q381" s="1387"/>
      <c r="R381" s="1387"/>
      <c r="S381" s="1387"/>
      <c r="T381" s="1387"/>
      <c r="U381" s="1387"/>
      <c r="V381" s="1387"/>
      <c r="W381" s="1387"/>
      <c r="X381" s="1387"/>
      <c r="Y381" s="1387"/>
      <c r="Z381" s="1387"/>
      <c r="AA381" s="1387"/>
      <c r="AB381" s="1387"/>
      <c r="AC381" s="1387"/>
      <c r="AD381" s="1388"/>
      <c r="AE381" s="79"/>
      <c r="AF381" s="119"/>
      <c r="AG381" s="119"/>
      <c r="AH381" s="113"/>
    </row>
    <row r="382" spans="1:34" ht="31.9" customHeight="1">
      <c r="A382" s="82"/>
      <c r="B382" s="1386"/>
      <c r="C382" s="1387"/>
      <c r="D382" s="1387"/>
      <c r="E382" s="1387"/>
      <c r="F382" s="1387"/>
      <c r="G382" s="1387"/>
      <c r="H382" s="1387"/>
      <c r="I382" s="1387"/>
      <c r="J382" s="1387"/>
      <c r="K382" s="1387"/>
      <c r="L382" s="1387"/>
      <c r="M382" s="1387"/>
      <c r="N382" s="1387"/>
      <c r="O382" s="1387"/>
      <c r="P382" s="1387"/>
      <c r="Q382" s="1387"/>
      <c r="R382" s="1387"/>
      <c r="S382" s="1387"/>
      <c r="T382" s="1387"/>
      <c r="U382" s="1387"/>
      <c r="V382" s="1387"/>
      <c r="W382" s="1387"/>
      <c r="X382" s="1387"/>
      <c r="Y382" s="1387"/>
      <c r="Z382" s="1387"/>
      <c r="AA382" s="1387"/>
      <c r="AB382" s="1387"/>
      <c r="AC382" s="1387"/>
      <c r="AD382" s="1388"/>
      <c r="AE382" s="78"/>
      <c r="AF382" s="103"/>
      <c r="AG382" s="103"/>
      <c r="AH382" s="113"/>
    </row>
    <row r="383" spans="1:34">
      <c r="A383" s="82"/>
      <c r="B383" s="80"/>
      <c r="C383" s="78"/>
      <c r="D383" s="80"/>
      <c r="E383" s="78"/>
      <c r="F383" s="78"/>
      <c r="G383" s="78"/>
      <c r="H383" s="78"/>
      <c r="I383" s="78"/>
      <c r="J383" s="78"/>
      <c r="K383" s="78"/>
      <c r="L383" s="112"/>
      <c r="M383" s="112"/>
      <c r="N383" s="112"/>
      <c r="O383" s="112"/>
      <c r="P383" s="78"/>
      <c r="Q383" s="78"/>
      <c r="R383" s="78"/>
      <c r="S383" s="78"/>
      <c r="T383" s="78"/>
      <c r="U383" s="78"/>
      <c r="V383" s="78"/>
      <c r="W383" s="78"/>
      <c r="X383" s="78"/>
      <c r="Y383" s="78"/>
      <c r="Z383" s="78"/>
      <c r="AA383" s="78"/>
      <c r="AB383" s="78"/>
      <c r="AC383" s="78"/>
      <c r="AD383" s="79"/>
      <c r="AE383" s="78"/>
      <c r="AF383" s="116"/>
      <c r="AG383" s="80"/>
      <c r="AH383" s="113"/>
    </row>
    <row r="384" spans="1:34" ht="18" customHeight="1">
      <c r="A384" s="873" t="s">
        <v>236</v>
      </c>
      <c r="B384" s="1400" t="s">
        <v>695</v>
      </c>
      <c r="C384" s="1400"/>
      <c r="D384" s="1400"/>
      <c r="E384" s="1400"/>
      <c r="F384" s="1400"/>
      <c r="G384" s="1400"/>
      <c r="H384" s="1400"/>
      <c r="I384" s="1400"/>
      <c r="J384" s="1400"/>
      <c r="K384" s="1400"/>
      <c r="L384" s="1400"/>
      <c r="M384" s="1400"/>
      <c r="N384" s="1400"/>
      <c r="O384" s="1400"/>
      <c r="P384" s="1400"/>
      <c r="Q384" s="1400"/>
      <c r="R384" s="1400"/>
      <c r="S384" s="1400"/>
      <c r="T384" s="1400"/>
      <c r="U384" s="1400"/>
      <c r="V384" s="1400"/>
      <c r="W384" s="1400"/>
      <c r="X384" s="1400"/>
      <c r="Y384" s="1400"/>
      <c r="Z384" s="1400"/>
      <c r="AA384" s="1400"/>
      <c r="AB384" s="1400"/>
      <c r="AC384" s="1400"/>
      <c r="AD384" s="1400"/>
      <c r="AE384" s="949"/>
      <c r="AF384" s="949"/>
      <c r="AG384" s="949"/>
      <c r="AH384" s="949" t="s">
        <v>344</v>
      </c>
    </row>
    <row r="385" spans="1:34" ht="22.15" customHeight="1">
      <c r="A385" s="938" t="s">
        <v>237</v>
      </c>
      <c r="B385" s="1390" t="s">
        <v>961</v>
      </c>
      <c r="C385" s="1390"/>
      <c r="D385" s="1390"/>
      <c r="E385" s="1390"/>
      <c r="F385" s="1390"/>
      <c r="G385" s="1390"/>
      <c r="H385" s="1390"/>
      <c r="I385" s="1390"/>
      <c r="J385" s="1390"/>
      <c r="K385" s="1390"/>
      <c r="L385" s="1390"/>
      <c r="M385" s="1390"/>
      <c r="N385" s="1390"/>
      <c r="O385" s="1390"/>
      <c r="P385" s="1390"/>
      <c r="Q385" s="1390"/>
      <c r="R385" s="1390"/>
      <c r="S385" s="1390"/>
      <c r="T385" s="1390"/>
      <c r="U385" s="1390"/>
      <c r="V385" s="1390"/>
      <c r="W385" s="1390"/>
      <c r="X385" s="1390"/>
      <c r="Y385" s="1390"/>
      <c r="Z385" s="1390"/>
      <c r="AA385" s="1390"/>
      <c r="AB385" s="1390"/>
      <c r="AC385" s="1390"/>
      <c r="AD385" s="1390"/>
      <c r="AE385" s="827" t="s">
        <v>213</v>
      </c>
      <c r="AF385" s="827" t="s">
        <v>214</v>
      </c>
      <c r="AG385" s="827" t="s">
        <v>215</v>
      </c>
      <c r="AH385" s="165"/>
    </row>
    <row r="386" spans="1:34" s="638" customFormat="1" ht="15">
      <c r="A386" s="1044" t="s">
        <v>33</v>
      </c>
      <c r="B386" s="1045" t="s">
        <v>234</v>
      </c>
      <c r="C386" s="1046"/>
      <c r="D386" s="1045"/>
      <c r="E386" s="1046"/>
      <c r="F386" s="1046"/>
      <c r="G386" s="1046"/>
      <c r="H386" s="1046"/>
      <c r="I386" s="1046"/>
      <c r="J386" s="1046"/>
      <c r="K386" s="1046"/>
      <c r="L386" s="1047"/>
      <c r="M386" s="1047"/>
      <c r="N386" s="1047"/>
      <c r="O386" s="1047"/>
      <c r="P386" s="1046"/>
      <c r="Q386" s="1046"/>
      <c r="R386" s="1046"/>
      <c r="S386" s="1046"/>
      <c r="T386" s="1046"/>
      <c r="U386" s="1046"/>
      <c r="V386" s="1046"/>
      <c r="W386" s="1046"/>
      <c r="X386" s="1046"/>
      <c r="Y386" s="1046"/>
      <c r="Z386" s="1046"/>
      <c r="AA386" s="1046">
        <f t="shared" ref="AA386:AA432" si="24">SUM(C386:Z386)</f>
        <v>0</v>
      </c>
      <c r="AB386" s="1046"/>
      <c r="AC386" s="1046"/>
      <c r="AD386" s="1044"/>
      <c r="AE386" s="1046"/>
      <c r="AF386" s="1050"/>
      <c r="AG386" s="1045"/>
      <c r="AH386" s="1050">
        <f t="shared" si="22"/>
        <v>0</v>
      </c>
    </row>
    <row r="387" spans="1:34" s="646" customFormat="1" ht="15">
      <c r="A387" s="1297" t="s">
        <v>134</v>
      </c>
      <c r="B387" s="1295" t="s">
        <v>153</v>
      </c>
      <c r="C387" s="1046"/>
      <c r="D387" s="1045"/>
      <c r="E387" s="1046"/>
      <c r="F387" s="1046"/>
      <c r="G387" s="1046"/>
      <c r="H387" s="1046"/>
      <c r="I387" s="1046"/>
      <c r="J387" s="1046"/>
      <c r="K387" s="1046"/>
      <c r="L387" s="1047"/>
      <c r="M387" s="1047"/>
      <c r="N387" s="1047"/>
      <c r="O387" s="1047"/>
      <c r="P387" s="1046"/>
      <c r="Q387" s="1046"/>
      <c r="R387" s="1046"/>
      <c r="S387" s="1046"/>
      <c r="T387" s="1046">
        <v>1</v>
      </c>
      <c r="U387" s="1046"/>
      <c r="V387" s="1046"/>
      <c r="W387" s="1046"/>
      <c r="X387" s="1046"/>
      <c r="Y387" s="1046"/>
      <c r="Z387" s="1046"/>
      <c r="AA387" s="1046">
        <f t="shared" si="24"/>
        <v>1</v>
      </c>
      <c r="AB387" s="1046" t="s">
        <v>53</v>
      </c>
      <c r="AC387" s="1046" t="s">
        <v>69</v>
      </c>
      <c r="AD387" s="1044" t="s">
        <v>32</v>
      </c>
      <c r="AE387" s="1048">
        <v>0.2</v>
      </c>
      <c r="AF387" s="1049">
        <v>0.2</v>
      </c>
      <c r="AG387" s="1049">
        <v>0.26</v>
      </c>
      <c r="AH387" s="1050">
        <f t="shared" si="22"/>
        <v>296770.5</v>
      </c>
    </row>
    <row r="388" spans="1:34" s="646" customFormat="1" ht="15">
      <c r="A388" s="1297" t="s">
        <v>135</v>
      </c>
      <c r="B388" s="1295" t="s">
        <v>155</v>
      </c>
      <c r="C388" s="1046"/>
      <c r="D388" s="1045"/>
      <c r="E388" s="1046"/>
      <c r="F388" s="1046"/>
      <c r="G388" s="1046"/>
      <c r="H388" s="1046"/>
      <c r="I388" s="1046"/>
      <c r="J388" s="1046"/>
      <c r="K388" s="1046"/>
      <c r="L388" s="1047"/>
      <c r="M388" s="1047"/>
      <c r="N388" s="1047"/>
      <c r="O388" s="1047"/>
      <c r="P388" s="1046"/>
      <c r="Q388" s="1046"/>
      <c r="R388" s="1046"/>
      <c r="S388" s="1046"/>
      <c r="T388" s="1046">
        <v>1</v>
      </c>
      <c r="U388" s="1046"/>
      <c r="V388" s="1046"/>
      <c r="W388" s="1046"/>
      <c r="X388" s="1046"/>
      <c r="Y388" s="1046"/>
      <c r="Z388" s="1046"/>
      <c r="AA388" s="1046">
        <f t="shared" si="24"/>
        <v>1</v>
      </c>
      <c r="AB388" s="1046" t="s">
        <v>53</v>
      </c>
      <c r="AC388" s="1046" t="s">
        <v>69</v>
      </c>
      <c r="AD388" s="1044" t="s">
        <v>32</v>
      </c>
      <c r="AE388" s="1048">
        <v>0.15</v>
      </c>
      <c r="AF388" s="1049">
        <v>0.15</v>
      </c>
      <c r="AG388" s="1049">
        <v>0.19500000000000001</v>
      </c>
      <c r="AH388" s="1050">
        <f t="shared" ref="AH388:AH432" si="25">(C388*C$6+D388*D$6+E388*E$6+F388*F$6+G388*G$6+H388*H$6+I388*I$6+J388*J$6+K388*K$6+L388*L$6+M388*M$6+N388*N$6+O388*O$6+P388*P$6+Q388*Q$6+R388*R$6+S388*S$6+T388*T$6+U388*U$6+V388*V$6+W388*W$6+X388*X$6+Y388*Y$6+Z388*Z$6)</f>
        <v>296770.5</v>
      </c>
    </row>
    <row r="389" spans="1:34" s="638" customFormat="1" ht="51">
      <c r="A389" s="1044" t="s">
        <v>34</v>
      </c>
      <c r="B389" s="1045" t="s">
        <v>715</v>
      </c>
      <c r="C389" s="1046"/>
      <c r="D389" s="1045"/>
      <c r="E389" s="1046"/>
      <c r="F389" s="1046"/>
      <c r="G389" s="1046"/>
      <c r="H389" s="1046"/>
      <c r="I389" s="1046"/>
      <c r="J389" s="1046"/>
      <c r="K389" s="1046"/>
      <c r="L389" s="1047"/>
      <c r="M389" s="1047"/>
      <c r="N389" s="1047"/>
      <c r="O389" s="1047"/>
      <c r="P389" s="1046"/>
      <c r="Q389" s="1046"/>
      <c r="R389" s="1046"/>
      <c r="S389" s="1046"/>
      <c r="T389" s="1046">
        <v>1</v>
      </c>
      <c r="U389" s="1046"/>
      <c r="V389" s="1046"/>
      <c r="W389" s="1046"/>
      <c r="X389" s="1046"/>
      <c r="Y389" s="1046"/>
      <c r="Z389" s="1046"/>
      <c r="AA389" s="1046">
        <f t="shared" si="24"/>
        <v>1</v>
      </c>
      <c r="AB389" s="1046" t="s">
        <v>53</v>
      </c>
      <c r="AC389" s="1046" t="s">
        <v>69</v>
      </c>
      <c r="AD389" s="1044" t="s">
        <v>32</v>
      </c>
      <c r="AE389" s="1048">
        <v>0.25</v>
      </c>
      <c r="AF389" s="1049">
        <v>0.25</v>
      </c>
      <c r="AG389" s="1049">
        <v>0.32500000000000001</v>
      </c>
      <c r="AH389" s="1050">
        <f t="shared" si="25"/>
        <v>296770.5</v>
      </c>
    </row>
    <row r="390" spans="1:34" s="638" customFormat="1" ht="25.5">
      <c r="A390" s="1044" t="s">
        <v>35</v>
      </c>
      <c r="B390" s="1045" t="s">
        <v>157</v>
      </c>
      <c r="C390" s="1046"/>
      <c r="D390" s="1045"/>
      <c r="E390" s="1046"/>
      <c r="F390" s="1046"/>
      <c r="G390" s="1046"/>
      <c r="H390" s="1046"/>
      <c r="I390" s="1046"/>
      <c r="J390" s="1046"/>
      <c r="K390" s="1046"/>
      <c r="L390" s="1047"/>
      <c r="M390" s="1047"/>
      <c r="N390" s="1047"/>
      <c r="O390" s="1047"/>
      <c r="P390" s="1046"/>
      <c r="Q390" s="1046"/>
      <c r="R390" s="1046"/>
      <c r="S390" s="1046"/>
      <c r="T390" s="1046"/>
      <c r="U390" s="1046">
        <v>1</v>
      </c>
      <c r="V390" s="1046"/>
      <c r="W390" s="1046"/>
      <c r="X390" s="1046"/>
      <c r="Y390" s="1046"/>
      <c r="Z390" s="1046"/>
      <c r="AA390" s="1046">
        <f t="shared" si="24"/>
        <v>1</v>
      </c>
      <c r="AB390" s="1046" t="s">
        <v>1</v>
      </c>
      <c r="AC390" s="1046" t="s">
        <v>106</v>
      </c>
      <c r="AD390" s="1044" t="s">
        <v>32</v>
      </c>
      <c r="AE390" s="1048">
        <v>0.107</v>
      </c>
      <c r="AF390" s="1049">
        <v>3.3000000000000002E-2</v>
      </c>
      <c r="AG390" s="1049">
        <v>0.16700000000000001</v>
      </c>
      <c r="AH390" s="1050">
        <f t="shared" si="25"/>
        <v>333450</v>
      </c>
    </row>
    <row r="391" spans="1:34" s="638" customFormat="1" ht="25.5">
      <c r="A391" s="1044" t="s">
        <v>158</v>
      </c>
      <c r="B391" s="1045" t="s">
        <v>189</v>
      </c>
      <c r="C391" s="1046"/>
      <c r="D391" s="1045"/>
      <c r="E391" s="1046"/>
      <c r="F391" s="1046"/>
      <c r="G391" s="1046"/>
      <c r="H391" s="1046"/>
      <c r="I391" s="1046"/>
      <c r="J391" s="1046"/>
      <c r="K391" s="1046"/>
      <c r="L391" s="1047"/>
      <c r="M391" s="1047"/>
      <c r="N391" s="1047"/>
      <c r="O391" s="1047"/>
      <c r="P391" s="1046"/>
      <c r="Q391" s="1046"/>
      <c r="R391" s="1046"/>
      <c r="S391" s="1046"/>
      <c r="T391" s="1046"/>
      <c r="U391" s="1046"/>
      <c r="V391" s="1046"/>
      <c r="W391" s="1046"/>
      <c r="X391" s="1046"/>
      <c r="Y391" s="1046"/>
      <c r="Z391" s="1046"/>
      <c r="AA391" s="1046">
        <f>SUM(C391:Z391)</f>
        <v>0</v>
      </c>
      <c r="AB391" s="1046"/>
      <c r="AC391" s="1046"/>
      <c r="AD391" s="1044"/>
      <c r="AE391" s="1048"/>
      <c r="AF391" s="1049"/>
      <c r="AG391" s="1049"/>
      <c r="AH391" s="1050">
        <f>(C391*C$6+D391*D$6+E391*E$6+F391*F$6+G391*G$6+H391*H$6+I391*I$6+J391*J$6+K391*K$6+L391*L$6+M391*M$6+N391*N$6+O391*O$6+P391*P$6+Q391*Q$6+R391*R$6+S391*S$6+T391*T$6+U391*U$6+V391*V$6+W391*W$6+X391*X$6+Y391*Y$6+Z391*Z$6)</f>
        <v>0</v>
      </c>
    </row>
    <row r="392" spans="1:34" s="638" customFormat="1" ht="15">
      <c r="A392" s="1044" t="s">
        <v>217</v>
      </c>
      <c r="B392" s="1045" t="s">
        <v>190</v>
      </c>
      <c r="C392" s="1046"/>
      <c r="D392" s="1045"/>
      <c r="E392" s="1046"/>
      <c r="F392" s="1046"/>
      <c r="G392" s="1046"/>
      <c r="H392" s="1046"/>
      <c r="I392" s="1046"/>
      <c r="J392" s="1046"/>
      <c r="K392" s="1046"/>
      <c r="L392" s="1047"/>
      <c r="M392" s="1047"/>
      <c r="N392" s="1047"/>
      <c r="O392" s="1047"/>
      <c r="P392" s="1046"/>
      <c r="Q392" s="1046"/>
      <c r="R392" s="1046"/>
      <c r="S392" s="1046">
        <v>1</v>
      </c>
      <c r="T392" s="1046"/>
      <c r="U392" s="1046"/>
      <c r="V392" s="1046"/>
      <c r="W392" s="1046"/>
      <c r="X392" s="1046"/>
      <c r="Y392" s="1046"/>
      <c r="Z392" s="1046"/>
      <c r="AA392" s="1046">
        <f>SUM(C392:Z392)</f>
        <v>1</v>
      </c>
      <c r="AB392" s="1046" t="s">
        <v>551</v>
      </c>
      <c r="AC392" s="1046" t="s">
        <v>68</v>
      </c>
      <c r="AD392" s="1044" t="s">
        <v>32</v>
      </c>
      <c r="AE392" s="1048">
        <v>1.6E-2</v>
      </c>
      <c r="AF392" s="1049">
        <v>0.02</v>
      </c>
      <c r="AG392" s="1049">
        <v>2.4E-2</v>
      </c>
      <c r="AH392" s="1050">
        <f>(C392*C$6+D392*D$6+E392*E$6+F392*F$6+G392*G$6+H392*H$6+I392*I$6+J392*J$6+K392*K$6+L392*L$6+M392*M$6+N392*N$6+O392*O$6+P392*P$6+Q392*Q$6+R392*R$6+S392*S$6+T392*T$6+U392*U$6+V392*V$6+W392*W$6+X392*X$6+Y392*Y$6+Z392*Z$6)</f>
        <v>260091</v>
      </c>
    </row>
    <row r="393" spans="1:34" s="638" customFormat="1" ht="15">
      <c r="A393" s="1044" t="s">
        <v>218</v>
      </c>
      <c r="B393" s="1045" t="s">
        <v>191</v>
      </c>
      <c r="C393" s="1046"/>
      <c r="D393" s="1045"/>
      <c r="E393" s="1046"/>
      <c r="F393" s="1046"/>
      <c r="G393" s="1046"/>
      <c r="H393" s="1046"/>
      <c r="I393" s="1046"/>
      <c r="J393" s="1046"/>
      <c r="K393" s="1046"/>
      <c r="L393" s="1047"/>
      <c r="M393" s="1047"/>
      <c r="N393" s="1047"/>
      <c r="O393" s="1047"/>
      <c r="P393" s="1046"/>
      <c r="Q393" s="1046"/>
      <c r="R393" s="1046"/>
      <c r="S393" s="1046">
        <v>1</v>
      </c>
      <c r="T393" s="1046"/>
      <c r="U393" s="1046"/>
      <c r="V393" s="1046"/>
      <c r="W393" s="1046"/>
      <c r="X393" s="1046"/>
      <c r="Y393" s="1046"/>
      <c r="Z393" s="1046"/>
      <c r="AA393" s="1046">
        <f>SUM(C393:Z393)</f>
        <v>1</v>
      </c>
      <c r="AB393" s="1046" t="s">
        <v>551</v>
      </c>
      <c r="AC393" s="1046" t="s">
        <v>68</v>
      </c>
      <c r="AD393" s="1044" t="s">
        <v>32</v>
      </c>
      <c r="AE393" s="1048">
        <v>8.0000000000000002E-3</v>
      </c>
      <c r="AF393" s="1049">
        <v>0.01</v>
      </c>
      <c r="AG393" s="1049">
        <v>1.2E-2</v>
      </c>
      <c r="AH393" s="1050">
        <f>(C393*C$6+D393*D$6+E393*E$6+F393*F$6+G393*G$6+H393*H$6+I393*I$6+J393*J$6+K393*K$6+L393*L$6+M393*M$6+N393*N$6+O393*O$6+P393*P$6+Q393*Q$6+R393*R$6+S393*S$6+T393*T$6+U393*U$6+V393*V$6+W393*W$6+X393*X$6+Y393*Y$6+Z393*Z$6)</f>
        <v>260091</v>
      </c>
    </row>
    <row r="394" spans="1:34" s="638" customFormat="1" ht="38.25">
      <c r="A394" s="1036" t="s">
        <v>159</v>
      </c>
      <c r="B394" s="986" t="s">
        <v>192</v>
      </c>
      <c r="C394" s="987"/>
      <c r="D394" s="986"/>
      <c r="E394" s="987"/>
      <c r="F394" s="987"/>
      <c r="G394" s="987"/>
      <c r="H394" s="987"/>
      <c r="I394" s="987"/>
      <c r="J394" s="987"/>
      <c r="K394" s="987"/>
      <c r="L394" s="988"/>
      <c r="M394" s="988"/>
      <c r="N394" s="988"/>
      <c r="O394" s="988"/>
      <c r="P394" s="987"/>
      <c r="Q394" s="987"/>
      <c r="R394" s="987"/>
      <c r="S394" s="987">
        <v>1</v>
      </c>
      <c r="T394" s="987"/>
      <c r="U394" s="987"/>
      <c r="V394" s="987"/>
      <c r="W394" s="987"/>
      <c r="X394" s="987"/>
      <c r="Y394" s="987"/>
      <c r="Z394" s="987"/>
      <c r="AA394" s="987">
        <f>SUM(C394:Z394)</f>
        <v>1</v>
      </c>
      <c r="AB394" s="987" t="s">
        <v>551</v>
      </c>
      <c r="AC394" s="987" t="s">
        <v>68</v>
      </c>
      <c r="AD394" s="1036" t="s">
        <v>32</v>
      </c>
      <c r="AE394" s="990">
        <v>4.0000000000000001E-3</v>
      </c>
      <c r="AF394" s="1322">
        <v>5.0000000000000001E-3</v>
      </c>
      <c r="AG394" s="1322">
        <v>6.0000000000000001E-3</v>
      </c>
      <c r="AH394" s="989">
        <f>(C394*C$6+D394*D$6+E394*E$6+F394*F$6+G394*G$6+H394*H$6+I394*I$6+J394*J$6+K394*K$6+L394*L$6+M394*M$6+N394*N$6+O394*O$6+P394*P$6+Q394*Q$6+R394*R$6+S394*S$6+T394*T$6+U394*U$6+V394*V$6+W394*W$6+X394*X$6+Y394*Y$6+Z394*Z$6)</f>
        <v>260091</v>
      </c>
    </row>
    <row r="395" spans="1:34" s="638" customFormat="1" ht="15">
      <c r="A395" s="1046">
        <v>6</v>
      </c>
      <c r="B395" s="1304" t="s">
        <v>591</v>
      </c>
      <c r="C395" s="987"/>
      <c r="D395" s="986"/>
      <c r="E395" s="987"/>
      <c r="F395" s="987"/>
      <c r="G395" s="987"/>
      <c r="H395" s="987"/>
      <c r="I395" s="987"/>
      <c r="J395" s="987"/>
      <c r="K395" s="987"/>
      <c r="L395" s="988"/>
      <c r="M395" s="988"/>
      <c r="N395" s="988"/>
      <c r="O395" s="988"/>
      <c r="P395" s="987"/>
      <c r="Q395" s="987"/>
      <c r="R395" s="987"/>
      <c r="S395" s="987"/>
      <c r="T395" s="987"/>
      <c r="U395" s="987"/>
      <c r="V395" s="987"/>
      <c r="W395" s="987"/>
      <c r="X395" s="987"/>
      <c r="Y395" s="987"/>
      <c r="Z395" s="987"/>
      <c r="AA395" s="987"/>
      <c r="AB395" s="987"/>
      <c r="AC395" s="987"/>
      <c r="AD395" s="1036"/>
      <c r="AE395" s="990"/>
      <c r="AF395" s="1322"/>
      <c r="AG395" s="1322"/>
      <c r="AH395" s="989"/>
    </row>
    <row r="396" spans="1:34" s="638" customFormat="1" ht="15">
      <c r="A396" s="1046">
        <v>6.1</v>
      </c>
      <c r="B396" s="1304" t="s">
        <v>153</v>
      </c>
      <c r="C396" s="987"/>
      <c r="D396" s="986"/>
      <c r="E396" s="987"/>
      <c r="F396" s="987"/>
      <c r="G396" s="987"/>
      <c r="H396" s="987"/>
      <c r="I396" s="987"/>
      <c r="J396" s="987"/>
      <c r="K396" s="987"/>
      <c r="L396" s="988"/>
      <c r="M396" s="988"/>
      <c r="N396" s="988"/>
      <c r="O396" s="988"/>
      <c r="P396" s="987"/>
      <c r="Q396" s="987"/>
      <c r="R396" s="987"/>
      <c r="S396" s="987"/>
      <c r="T396" s="987">
        <v>1</v>
      </c>
      <c r="U396" s="987"/>
      <c r="V396" s="987"/>
      <c r="W396" s="987"/>
      <c r="X396" s="987"/>
      <c r="Y396" s="987"/>
      <c r="Z396" s="987"/>
      <c r="AA396" s="987">
        <f t="shared" si="24"/>
        <v>1</v>
      </c>
      <c r="AB396" s="987" t="s">
        <v>53</v>
      </c>
      <c r="AC396" s="1046" t="s">
        <v>69</v>
      </c>
      <c r="AD396" s="1036" t="s">
        <v>32</v>
      </c>
      <c r="AE396" s="1048">
        <v>0.05</v>
      </c>
      <c r="AF396" s="1048">
        <v>0.05</v>
      </c>
      <c r="AG396" s="1048">
        <v>0.05</v>
      </c>
      <c r="AH396" s="989">
        <f t="shared" si="25"/>
        <v>296770.5</v>
      </c>
    </row>
    <row r="397" spans="1:34" s="638" customFormat="1" ht="15">
      <c r="A397" s="1046">
        <v>6.2</v>
      </c>
      <c r="B397" s="1304" t="s">
        <v>155</v>
      </c>
      <c r="C397" s="987"/>
      <c r="D397" s="986"/>
      <c r="E397" s="987"/>
      <c r="F397" s="987"/>
      <c r="G397" s="987"/>
      <c r="H397" s="987"/>
      <c r="I397" s="987"/>
      <c r="J397" s="987"/>
      <c r="K397" s="987"/>
      <c r="L397" s="988"/>
      <c r="M397" s="988"/>
      <c r="N397" s="988"/>
      <c r="O397" s="988"/>
      <c r="P397" s="987"/>
      <c r="Q397" s="987"/>
      <c r="R397" s="987"/>
      <c r="S397" s="987"/>
      <c r="T397" s="987">
        <v>1</v>
      </c>
      <c r="U397" s="987"/>
      <c r="V397" s="987"/>
      <c r="W397" s="987"/>
      <c r="X397" s="987"/>
      <c r="Y397" s="987"/>
      <c r="Z397" s="987"/>
      <c r="AA397" s="987">
        <f t="shared" si="24"/>
        <v>1</v>
      </c>
      <c r="AB397" s="987" t="s">
        <v>53</v>
      </c>
      <c r="AC397" s="1046" t="s">
        <v>69</v>
      </c>
      <c r="AD397" s="1036" t="s">
        <v>32</v>
      </c>
      <c r="AE397" s="1048">
        <v>0.04</v>
      </c>
      <c r="AF397" s="1048">
        <v>0.04</v>
      </c>
      <c r="AG397" s="1048">
        <v>0.04</v>
      </c>
      <c r="AH397" s="989">
        <f t="shared" si="25"/>
        <v>296770.5</v>
      </c>
    </row>
    <row r="398" spans="1:34" s="638" customFormat="1" ht="102">
      <c r="A398" s="1036" t="s">
        <v>161</v>
      </c>
      <c r="B398" s="986" t="s">
        <v>696</v>
      </c>
      <c r="C398" s="987"/>
      <c r="D398" s="986"/>
      <c r="E398" s="987"/>
      <c r="F398" s="987"/>
      <c r="G398" s="987"/>
      <c r="H398" s="987"/>
      <c r="I398" s="987"/>
      <c r="J398" s="987">
        <v>1</v>
      </c>
      <c r="K398" s="987"/>
      <c r="L398" s="988"/>
      <c r="M398" s="988"/>
      <c r="N398" s="988"/>
      <c r="O398" s="988"/>
      <c r="P398" s="987"/>
      <c r="Q398" s="987"/>
      <c r="R398" s="987"/>
      <c r="S398" s="987"/>
      <c r="T398" s="987">
        <v>1</v>
      </c>
      <c r="U398" s="987"/>
      <c r="V398" s="987"/>
      <c r="W398" s="987"/>
      <c r="X398" s="987"/>
      <c r="Y398" s="987"/>
      <c r="Z398" s="987"/>
      <c r="AA398" s="987">
        <f t="shared" si="24"/>
        <v>2</v>
      </c>
      <c r="AB398" s="987" t="s">
        <v>53</v>
      </c>
      <c r="AC398" s="987" t="s">
        <v>547</v>
      </c>
      <c r="AD398" s="1036" t="s">
        <v>32</v>
      </c>
      <c r="AE398" s="990">
        <v>0.6</v>
      </c>
      <c r="AF398" s="1322">
        <v>0.9</v>
      </c>
      <c r="AG398" s="1322">
        <v>1.08</v>
      </c>
      <c r="AH398" s="989">
        <f t="shared" si="25"/>
        <v>570199.5</v>
      </c>
    </row>
    <row r="399" spans="1:34" s="638" customFormat="1" ht="76.5">
      <c r="A399" s="1046">
        <v>8</v>
      </c>
      <c r="B399" s="1304" t="s">
        <v>600</v>
      </c>
      <c r="C399" s="987"/>
      <c r="D399" s="986"/>
      <c r="E399" s="987"/>
      <c r="F399" s="987"/>
      <c r="G399" s="987"/>
      <c r="H399" s="987"/>
      <c r="I399" s="987"/>
      <c r="J399" s="987"/>
      <c r="K399" s="987"/>
      <c r="L399" s="988"/>
      <c r="M399" s="988"/>
      <c r="N399" s="988"/>
      <c r="O399" s="988"/>
      <c r="P399" s="987"/>
      <c r="Q399" s="987"/>
      <c r="R399" s="987"/>
      <c r="S399" s="987"/>
      <c r="T399" s="987"/>
      <c r="U399" s="987">
        <v>1</v>
      </c>
      <c r="V399" s="987"/>
      <c r="W399" s="987"/>
      <c r="X399" s="987"/>
      <c r="Y399" s="987"/>
      <c r="Z399" s="987"/>
      <c r="AA399" s="987">
        <f t="shared" si="24"/>
        <v>1</v>
      </c>
      <c r="AB399" s="987" t="s">
        <v>53</v>
      </c>
      <c r="AC399" s="987" t="s">
        <v>106</v>
      </c>
      <c r="AD399" s="1036" t="s">
        <v>32</v>
      </c>
      <c r="AE399" s="1048">
        <v>0.2</v>
      </c>
      <c r="AF399" s="1048">
        <v>0.2</v>
      </c>
      <c r="AG399" s="1048">
        <v>0.26</v>
      </c>
      <c r="AH399" s="989">
        <f t="shared" si="25"/>
        <v>333450</v>
      </c>
    </row>
    <row r="400" spans="1:34" s="638" customFormat="1" ht="25.5">
      <c r="A400" s="1046">
        <v>9</v>
      </c>
      <c r="B400" s="1304" t="s">
        <v>601</v>
      </c>
      <c r="C400" s="987"/>
      <c r="D400" s="986"/>
      <c r="E400" s="987"/>
      <c r="F400" s="987"/>
      <c r="G400" s="987"/>
      <c r="H400" s="987"/>
      <c r="I400" s="987"/>
      <c r="J400" s="987"/>
      <c r="K400" s="987"/>
      <c r="L400" s="988"/>
      <c r="M400" s="988"/>
      <c r="N400" s="988"/>
      <c r="O400" s="988"/>
      <c r="P400" s="987"/>
      <c r="Q400" s="987"/>
      <c r="R400" s="987"/>
      <c r="S400" s="987"/>
      <c r="T400" s="987"/>
      <c r="U400" s="987">
        <v>1</v>
      </c>
      <c r="V400" s="987"/>
      <c r="W400" s="987"/>
      <c r="X400" s="987"/>
      <c r="Y400" s="987"/>
      <c r="Z400" s="987"/>
      <c r="AA400" s="987">
        <f t="shared" si="24"/>
        <v>1</v>
      </c>
      <c r="AB400" s="987" t="s">
        <v>53</v>
      </c>
      <c r="AC400" s="987" t="s">
        <v>106</v>
      </c>
      <c r="AD400" s="1036" t="s">
        <v>32</v>
      </c>
      <c r="AE400" s="1048">
        <v>0.3</v>
      </c>
      <c r="AF400" s="1048">
        <v>0.3</v>
      </c>
      <c r="AG400" s="1048">
        <v>0.4</v>
      </c>
      <c r="AH400" s="989">
        <f t="shared" si="25"/>
        <v>333450</v>
      </c>
    </row>
    <row r="401" spans="1:34" s="638" customFormat="1" ht="25.5">
      <c r="A401" s="1046">
        <v>10</v>
      </c>
      <c r="B401" s="1304" t="s">
        <v>602</v>
      </c>
      <c r="C401" s="987"/>
      <c r="D401" s="986"/>
      <c r="E401" s="987"/>
      <c r="F401" s="987"/>
      <c r="G401" s="987"/>
      <c r="H401" s="987"/>
      <c r="I401" s="987"/>
      <c r="J401" s="987"/>
      <c r="K401" s="987"/>
      <c r="L401" s="988"/>
      <c r="M401" s="988"/>
      <c r="N401" s="988"/>
      <c r="O401" s="988"/>
      <c r="P401" s="987"/>
      <c r="Q401" s="987"/>
      <c r="R401" s="987"/>
      <c r="S401" s="987"/>
      <c r="T401" s="987"/>
      <c r="U401" s="987">
        <v>1</v>
      </c>
      <c r="V401" s="987"/>
      <c r="W401" s="987"/>
      <c r="X401" s="987"/>
      <c r="Y401" s="987"/>
      <c r="Z401" s="987"/>
      <c r="AA401" s="987">
        <f t="shared" si="24"/>
        <v>1</v>
      </c>
      <c r="AB401" s="987" t="s">
        <v>53</v>
      </c>
      <c r="AC401" s="987" t="s">
        <v>106</v>
      </c>
      <c r="AD401" s="1036" t="s">
        <v>32</v>
      </c>
      <c r="AE401" s="1046">
        <v>0.2</v>
      </c>
      <c r="AF401" s="1046">
        <v>0.2</v>
      </c>
      <c r="AG401" s="1046">
        <v>0.26</v>
      </c>
      <c r="AH401" s="989">
        <f t="shared" si="25"/>
        <v>333450</v>
      </c>
    </row>
    <row r="402" spans="1:34" s="638" customFormat="1" ht="89.25">
      <c r="A402" s="1046">
        <v>11</v>
      </c>
      <c r="B402" s="1304" t="s">
        <v>603</v>
      </c>
      <c r="C402" s="987"/>
      <c r="D402" s="986"/>
      <c r="E402" s="987"/>
      <c r="F402" s="987"/>
      <c r="G402" s="987"/>
      <c r="H402" s="987"/>
      <c r="I402" s="987"/>
      <c r="J402" s="987"/>
      <c r="K402" s="987"/>
      <c r="L402" s="988"/>
      <c r="M402" s="988"/>
      <c r="N402" s="988"/>
      <c r="O402" s="988"/>
      <c r="P402" s="987"/>
      <c r="Q402" s="987"/>
      <c r="R402" s="987"/>
      <c r="S402" s="987"/>
      <c r="T402" s="987"/>
      <c r="U402" s="987">
        <v>1</v>
      </c>
      <c r="V402" s="987"/>
      <c r="W402" s="987"/>
      <c r="X402" s="987"/>
      <c r="Y402" s="987"/>
      <c r="Z402" s="987"/>
      <c r="AA402" s="987">
        <f t="shared" si="24"/>
        <v>1</v>
      </c>
      <c r="AB402" s="987" t="s">
        <v>53</v>
      </c>
      <c r="AC402" s="987" t="s">
        <v>106</v>
      </c>
      <c r="AD402" s="1036" t="s">
        <v>32</v>
      </c>
      <c r="AE402" s="1332">
        <v>1</v>
      </c>
      <c r="AF402" s="1332">
        <v>1</v>
      </c>
      <c r="AG402" s="1332">
        <v>1.2</v>
      </c>
      <c r="AH402" s="989">
        <f t="shared" si="25"/>
        <v>333450</v>
      </c>
    </row>
    <row r="403" spans="1:34" s="638" customFormat="1" ht="51">
      <c r="A403" s="1046">
        <v>12</v>
      </c>
      <c r="B403" s="1304" t="s">
        <v>697</v>
      </c>
      <c r="C403" s="987"/>
      <c r="D403" s="986"/>
      <c r="E403" s="987"/>
      <c r="F403" s="987"/>
      <c r="G403" s="987"/>
      <c r="H403" s="987"/>
      <c r="I403" s="987"/>
      <c r="J403" s="987"/>
      <c r="K403" s="987"/>
      <c r="L403" s="988"/>
      <c r="M403" s="988"/>
      <c r="N403" s="988"/>
      <c r="O403" s="988"/>
      <c r="P403" s="987"/>
      <c r="Q403" s="987"/>
      <c r="R403" s="987"/>
      <c r="S403" s="987"/>
      <c r="T403" s="987"/>
      <c r="U403" s="987">
        <v>1</v>
      </c>
      <c r="V403" s="987"/>
      <c r="W403" s="987"/>
      <c r="X403" s="987"/>
      <c r="Y403" s="987"/>
      <c r="Z403" s="987"/>
      <c r="AA403" s="987">
        <f t="shared" si="24"/>
        <v>1</v>
      </c>
      <c r="AB403" s="987" t="s">
        <v>53</v>
      </c>
      <c r="AC403" s="987" t="s">
        <v>106</v>
      </c>
      <c r="AD403" s="1036" t="s">
        <v>32</v>
      </c>
      <c r="AE403" s="1332">
        <v>1</v>
      </c>
      <c r="AF403" s="1332">
        <v>1</v>
      </c>
      <c r="AG403" s="1332">
        <v>1.2</v>
      </c>
      <c r="AH403" s="989">
        <f t="shared" si="25"/>
        <v>333450</v>
      </c>
    </row>
    <row r="404" spans="1:34" s="638" customFormat="1" ht="63.75">
      <c r="A404" s="1046">
        <v>13</v>
      </c>
      <c r="B404" s="1304" t="s">
        <v>604</v>
      </c>
      <c r="C404" s="987"/>
      <c r="D404" s="986"/>
      <c r="E404" s="987"/>
      <c r="F404" s="987"/>
      <c r="G404" s="987"/>
      <c r="H404" s="987"/>
      <c r="I404" s="987"/>
      <c r="J404" s="987"/>
      <c r="K404" s="987"/>
      <c r="L404" s="988"/>
      <c r="M404" s="988"/>
      <c r="N404" s="988"/>
      <c r="O404" s="988"/>
      <c r="P404" s="987"/>
      <c r="Q404" s="987"/>
      <c r="R404" s="987"/>
      <c r="S404" s="987"/>
      <c r="T404" s="987"/>
      <c r="U404" s="987">
        <v>1</v>
      </c>
      <c r="V404" s="987"/>
      <c r="W404" s="987"/>
      <c r="X404" s="987"/>
      <c r="Y404" s="987"/>
      <c r="Z404" s="987"/>
      <c r="AA404" s="987">
        <f t="shared" si="24"/>
        <v>1</v>
      </c>
      <c r="AB404" s="987" t="s">
        <v>53</v>
      </c>
      <c r="AC404" s="987" t="s">
        <v>106</v>
      </c>
      <c r="AD404" s="1036" t="s">
        <v>32</v>
      </c>
      <c r="AE404" s="1048">
        <v>0.2</v>
      </c>
      <c r="AF404" s="1048">
        <v>0.2</v>
      </c>
      <c r="AG404" s="1048">
        <v>0.26</v>
      </c>
      <c r="AH404" s="989">
        <f t="shared" si="25"/>
        <v>333450</v>
      </c>
    </row>
    <row r="405" spans="1:34" s="638" customFormat="1" ht="38.25">
      <c r="A405" s="1046">
        <v>14</v>
      </c>
      <c r="B405" s="1304" t="s">
        <v>738</v>
      </c>
      <c r="C405" s="1046"/>
      <c r="D405" s="1045"/>
      <c r="E405" s="1046"/>
      <c r="F405" s="1046"/>
      <c r="G405" s="1046"/>
      <c r="H405" s="1046"/>
      <c r="I405" s="1046"/>
      <c r="J405" s="1046">
        <v>1</v>
      </c>
      <c r="K405" s="1046"/>
      <c r="L405" s="1047"/>
      <c r="M405" s="1047"/>
      <c r="N405" s="1047"/>
      <c r="O405" s="1047"/>
      <c r="P405" s="1046"/>
      <c r="Q405" s="1046"/>
      <c r="R405" s="1046"/>
      <c r="S405" s="1046"/>
      <c r="T405" s="1046"/>
      <c r="U405" s="1046"/>
      <c r="V405" s="1046"/>
      <c r="W405" s="1046"/>
      <c r="X405" s="1046"/>
      <c r="Y405" s="1046"/>
      <c r="Z405" s="1046"/>
      <c r="AA405" s="1046">
        <f>SUM(C405:Z405)</f>
        <v>1</v>
      </c>
      <c r="AB405" s="1046" t="s">
        <v>53</v>
      </c>
      <c r="AC405" s="1046" t="s">
        <v>108</v>
      </c>
      <c r="AD405" s="1036" t="s">
        <v>32</v>
      </c>
      <c r="AE405" s="1048">
        <v>0.06</v>
      </c>
      <c r="AF405" s="1048">
        <v>0.06</v>
      </c>
      <c r="AG405" s="1048">
        <v>7.8E-2</v>
      </c>
      <c r="AH405" s="1050">
        <f>(C405*C$6+D405*D$6+E405*E$6+F405*F$6+G405*G$6+H405*H$6+I405*I$6+J405*J$6+K405*K$6+L405*L$6+M405*M$6+N405*N$6+O405*O$6+P405*P$6+Q405*Q$6+R405*R$6+S405*S$6+T405*T$6+U405*U$6+V405*V$6+W405*W$6+X405*X$6+Y405*Y$6+Z405*Z$6)</f>
        <v>273429.00000000006</v>
      </c>
    </row>
    <row r="406" spans="1:34" s="287" customFormat="1" ht="51">
      <c r="A406" s="1046">
        <v>15</v>
      </c>
      <c r="B406" s="1304" t="s">
        <v>607</v>
      </c>
      <c r="C406" s="1046"/>
      <c r="D406" s="1045"/>
      <c r="E406" s="1046"/>
      <c r="F406" s="1046"/>
      <c r="G406" s="1046"/>
      <c r="H406" s="1046"/>
      <c r="I406" s="1046"/>
      <c r="J406" s="1046"/>
      <c r="K406" s="1046"/>
      <c r="L406" s="1047"/>
      <c r="M406" s="1047"/>
      <c r="N406" s="1047"/>
      <c r="O406" s="1047"/>
      <c r="P406" s="1046"/>
      <c r="Q406" s="1046"/>
      <c r="R406" s="1046"/>
      <c r="S406" s="1046"/>
      <c r="T406" s="1046">
        <v>1</v>
      </c>
      <c r="U406" s="1046"/>
      <c r="V406" s="1046"/>
      <c r="W406" s="1046"/>
      <c r="X406" s="1046"/>
      <c r="Y406" s="1046"/>
      <c r="Z406" s="1046"/>
      <c r="AA406" s="1046">
        <f>SUM(C406:Z406)</f>
        <v>1</v>
      </c>
      <c r="AB406" s="1046" t="s">
        <v>53</v>
      </c>
      <c r="AC406" s="1046" t="s">
        <v>69</v>
      </c>
      <c r="AD406" s="1036" t="s">
        <v>32</v>
      </c>
      <c r="AE406" s="1048">
        <v>0.05</v>
      </c>
      <c r="AF406" s="1048">
        <v>0.05</v>
      </c>
      <c r="AG406" s="1048">
        <v>6.5000000000000002E-2</v>
      </c>
      <c r="AH406" s="1050">
        <f>(C406*C$6+D406*D$6+E406*E$6+F406*F$6+G406*G$6+H406*H$6+I406*I$6+J406*J$6+K406*K$6+L406*L$6+M406*M$6+N406*N$6+O406*O$6+P406*P$6+Q406*Q$6+R406*R$6+S406*S$6+T406*T$6+U406*U$6+V406*V$6+W406*W$6+X406*X$6+Y406*Y$6+Z406*Z$6)</f>
        <v>296770.5</v>
      </c>
    </row>
    <row r="407" spans="1:34" s="287" customFormat="1" ht="51">
      <c r="A407" s="1046">
        <v>16</v>
      </c>
      <c r="B407" s="1304" t="s">
        <v>608</v>
      </c>
      <c r="C407" s="1046"/>
      <c r="D407" s="1045"/>
      <c r="E407" s="1046"/>
      <c r="F407" s="1046"/>
      <c r="G407" s="1046"/>
      <c r="H407" s="1046"/>
      <c r="I407" s="1046"/>
      <c r="J407" s="1046"/>
      <c r="K407" s="1046"/>
      <c r="L407" s="1047"/>
      <c r="M407" s="1047"/>
      <c r="N407" s="1047"/>
      <c r="O407" s="1047"/>
      <c r="P407" s="1046"/>
      <c r="Q407" s="1046"/>
      <c r="R407" s="1046"/>
      <c r="S407" s="1046"/>
      <c r="T407" s="1046">
        <v>1</v>
      </c>
      <c r="U407" s="1046"/>
      <c r="V407" s="1046"/>
      <c r="W407" s="1046"/>
      <c r="X407" s="1046"/>
      <c r="Y407" s="1046"/>
      <c r="Z407" s="1046"/>
      <c r="AA407" s="1046">
        <f>SUM(C407:Z407)</f>
        <v>1</v>
      </c>
      <c r="AB407" s="1046" t="s">
        <v>53</v>
      </c>
      <c r="AC407" s="1046" t="s">
        <v>69</v>
      </c>
      <c r="AD407" s="1036" t="s">
        <v>32</v>
      </c>
      <c r="AE407" s="1048">
        <v>0.1</v>
      </c>
      <c r="AF407" s="1048">
        <v>0.1</v>
      </c>
      <c r="AG407" s="1048">
        <v>0.15</v>
      </c>
      <c r="AH407" s="1050">
        <f>(C407*C$6+D407*D$6+E407*E$6+F407*F$6+G407*G$6+H407*H$6+I407*I$6+J407*J$6+K407*K$6+L407*L$6+M407*M$6+N407*N$6+O407*O$6+P407*P$6+Q407*Q$6+R407*R$6+S407*S$6+T407*T$6+U407*U$6+V407*V$6+W407*W$6+X407*X$6+Y407*Y$6+Z407*Z$6)</f>
        <v>296770.5</v>
      </c>
    </row>
    <row r="408" spans="1:34" s="638" customFormat="1" ht="25.5">
      <c r="A408" s="1036" t="s">
        <v>210</v>
      </c>
      <c r="B408" s="986" t="s">
        <v>698</v>
      </c>
      <c r="C408" s="987"/>
      <c r="D408" s="986"/>
      <c r="E408" s="987"/>
      <c r="F408" s="987"/>
      <c r="G408" s="987"/>
      <c r="H408" s="987"/>
      <c r="I408" s="987"/>
      <c r="J408" s="987"/>
      <c r="K408" s="987"/>
      <c r="L408" s="988"/>
      <c r="M408" s="988"/>
      <c r="N408" s="988"/>
      <c r="O408" s="988"/>
      <c r="P408" s="987"/>
      <c r="Q408" s="987"/>
      <c r="R408" s="987"/>
      <c r="S408" s="987"/>
      <c r="T408" s="987"/>
      <c r="U408" s="987">
        <v>1</v>
      </c>
      <c r="V408" s="987"/>
      <c r="W408" s="987"/>
      <c r="X408" s="987"/>
      <c r="Y408" s="987"/>
      <c r="Z408" s="987"/>
      <c r="AA408" s="987">
        <f t="shared" si="24"/>
        <v>1</v>
      </c>
      <c r="AB408" s="987" t="s">
        <v>1</v>
      </c>
      <c r="AC408" s="987" t="s">
        <v>106</v>
      </c>
      <c r="AD408" s="1036" t="s">
        <v>32</v>
      </c>
      <c r="AE408" s="990">
        <v>6.0000000000000001E-3</v>
      </c>
      <c r="AF408" s="1322">
        <v>6.0000000000000001E-3</v>
      </c>
      <c r="AG408" s="1322">
        <v>6.0000000000000001E-3</v>
      </c>
      <c r="AH408" s="989">
        <f t="shared" si="25"/>
        <v>333450</v>
      </c>
    </row>
    <row r="409" spans="1:34" s="638" customFormat="1" ht="25.5">
      <c r="A409" s="1044" t="s">
        <v>296</v>
      </c>
      <c r="B409" s="1045" t="s">
        <v>736</v>
      </c>
      <c r="C409" s="1046"/>
      <c r="D409" s="1045"/>
      <c r="E409" s="1046"/>
      <c r="F409" s="1046"/>
      <c r="G409" s="1046"/>
      <c r="H409" s="1046"/>
      <c r="I409" s="1046"/>
      <c r="J409" s="1046"/>
      <c r="K409" s="1046"/>
      <c r="L409" s="1047"/>
      <c r="M409" s="1047"/>
      <c r="N409" s="1047"/>
      <c r="O409" s="1047"/>
      <c r="P409" s="1046"/>
      <c r="Q409" s="1046"/>
      <c r="R409" s="1046"/>
      <c r="S409" s="1046"/>
      <c r="T409" s="1046"/>
      <c r="U409" s="1046"/>
      <c r="V409" s="1046"/>
      <c r="W409" s="1046"/>
      <c r="X409" s="1046"/>
      <c r="Y409" s="1046"/>
      <c r="Z409" s="1046"/>
      <c r="AA409" s="1046">
        <f t="shared" si="24"/>
        <v>0</v>
      </c>
      <c r="AB409" s="1046"/>
      <c r="AC409" s="1046"/>
      <c r="AD409" s="1044"/>
      <c r="AE409" s="1048"/>
      <c r="AF409" s="1049"/>
      <c r="AG409" s="1049"/>
      <c r="AH409" s="1050">
        <f t="shared" si="25"/>
        <v>0</v>
      </c>
    </row>
    <row r="410" spans="1:34" s="646" customFormat="1" ht="15">
      <c r="A410" s="1297" t="s">
        <v>620</v>
      </c>
      <c r="B410" s="1295" t="s">
        <v>168</v>
      </c>
      <c r="C410" s="1046"/>
      <c r="D410" s="1045"/>
      <c r="E410" s="1046"/>
      <c r="F410" s="1046"/>
      <c r="G410" s="1046"/>
      <c r="H410" s="1046"/>
      <c r="I410" s="1046"/>
      <c r="J410" s="1046"/>
      <c r="K410" s="1046"/>
      <c r="L410" s="1047"/>
      <c r="M410" s="1047"/>
      <c r="N410" s="1047"/>
      <c r="O410" s="1047"/>
      <c r="P410" s="1046"/>
      <c r="Q410" s="1046"/>
      <c r="R410" s="1046"/>
      <c r="S410" s="1046"/>
      <c r="T410" s="1046">
        <v>1</v>
      </c>
      <c r="U410" s="1046"/>
      <c r="V410" s="1046"/>
      <c r="W410" s="1046"/>
      <c r="X410" s="1046"/>
      <c r="Y410" s="1046"/>
      <c r="Z410" s="1046"/>
      <c r="AA410" s="1046">
        <f t="shared" si="24"/>
        <v>1</v>
      </c>
      <c r="AB410" s="1046" t="s">
        <v>53</v>
      </c>
      <c r="AC410" s="1046" t="s">
        <v>69</v>
      </c>
      <c r="AD410" s="1044" t="s">
        <v>32</v>
      </c>
      <c r="AE410" s="1048">
        <v>0.05</v>
      </c>
      <c r="AF410" s="1049">
        <v>0</v>
      </c>
      <c r="AG410" s="1049">
        <v>0.05</v>
      </c>
      <c r="AH410" s="1050">
        <f t="shared" si="25"/>
        <v>296770.5</v>
      </c>
    </row>
    <row r="411" spans="1:34" s="646" customFormat="1" ht="15">
      <c r="A411" s="1297" t="s">
        <v>621</v>
      </c>
      <c r="B411" s="1295" t="s">
        <v>169</v>
      </c>
      <c r="C411" s="1046"/>
      <c r="D411" s="1045"/>
      <c r="E411" s="1046"/>
      <c r="F411" s="1046"/>
      <c r="G411" s="1046"/>
      <c r="H411" s="1046"/>
      <c r="I411" s="1046"/>
      <c r="J411" s="1046"/>
      <c r="K411" s="1046"/>
      <c r="L411" s="1047"/>
      <c r="M411" s="1047"/>
      <c r="N411" s="1047"/>
      <c r="O411" s="1047"/>
      <c r="P411" s="1046"/>
      <c r="Q411" s="1046"/>
      <c r="R411" s="1046"/>
      <c r="S411" s="1046"/>
      <c r="T411" s="1046">
        <v>1</v>
      </c>
      <c r="U411" s="1046"/>
      <c r="V411" s="1046"/>
      <c r="W411" s="1046"/>
      <c r="X411" s="1046"/>
      <c r="Y411" s="1046"/>
      <c r="Z411" s="1046"/>
      <c r="AA411" s="1046">
        <f t="shared" si="24"/>
        <v>1</v>
      </c>
      <c r="AB411" s="1046" t="s">
        <v>53</v>
      </c>
      <c r="AC411" s="1046" t="s">
        <v>69</v>
      </c>
      <c r="AD411" s="1044" t="s">
        <v>32</v>
      </c>
      <c r="AE411" s="1048">
        <v>0.1</v>
      </c>
      <c r="AF411" s="1049">
        <v>0</v>
      </c>
      <c r="AG411" s="1049">
        <v>0.1</v>
      </c>
      <c r="AH411" s="1050">
        <f t="shared" si="25"/>
        <v>296770.5</v>
      </c>
    </row>
    <row r="412" spans="1:34" s="638" customFormat="1" ht="25.5">
      <c r="A412" s="1046">
        <v>19</v>
      </c>
      <c r="B412" s="1304" t="s">
        <v>593</v>
      </c>
      <c r="C412" s="1046"/>
      <c r="D412" s="1045"/>
      <c r="E412" s="1046"/>
      <c r="F412" s="1046"/>
      <c r="G412" s="1046"/>
      <c r="H412" s="1046"/>
      <c r="I412" s="1046"/>
      <c r="J412" s="1046"/>
      <c r="K412" s="1046"/>
      <c r="L412" s="1047"/>
      <c r="M412" s="1047"/>
      <c r="N412" s="1047"/>
      <c r="O412" s="1047"/>
      <c r="P412" s="1046"/>
      <c r="Q412" s="1046"/>
      <c r="R412" s="1046"/>
      <c r="S412" s="1046"/>
      <c r="T412" s="1046"/>
      <c r="U412" s="1046">
        <v>1</v>
      </c>
      <c r="V412" s="1046"/>
      <c r="W412" s="1046"/>
      <c r="X412" s="1046"/>
      <c r="Y412" s="1046"/>
      <c r="Z412" s="1046"/>
      <c r="AA412" s="1046">
        <f t="shared" si="24"/>
        <v>1</v>
      </c>
      <c r="AB412" s="1046"/>
      <c r="AC412" s="1046"/>
      <c r="AD412" s="1044"/>
      <c r="AE412" s="1048"/>
      <c r="AF412" s="1329"/>
      <c r="AG412" s="1329"/>
      <c r="AH412" s="1050"/>
    </row>
    <row r="413" spans="1:34" s="646" customFormat="1" ht="18.75" customHeight="1">
      <c r="A413" s="1294">
        <v>19.100000000000001</v>
      </c>
      <c r="B413" s="1312" t="s">
        <v>594</v>
      </c>
      <c r="C413" s="1294"/>
      <c r="D413" s="1295"/>
      <c r="E413" s="1294"/>
      <c r="F413" s="1294"/>
      <c r="G413" s="1294"/>
      <c r="H413" s="1294"/>
      <c r="I413" s="1294"/>
      <c r="J413" s="1294"/>
      <c r="K413" s="1294"/>
      <c r="L413" s="1296"/>
      <c r="M413" s="1296"/>
      <c r="N413" s="1296"/>
      <c r="O413" s="1296"/>
      <c r="P413" s="1294"/>
      <c r="Q413" s="1294"/>
      <c r="R413" s="1294"/>
      <c r="S413" s="1294"/>
      <c r="T413" s="1294"/>
      <c r="U413" s="1294">
        <v>1</v>
      </c>
      <c r="V413" s="1294"/>
      <c r="W413" s="1294"/>
      <c r="X413" s="1294"/>
      <c r="Y413" s="1294"/>
      <c r="Z413" s="1294"/>
      <c r="AA413" s="1294">
        <f t="shared" si="24"/>
        <v>1</v>
      </c>
      <c r="AB413" s="1294" t="s">
        <v>53</v>
      </c>
      <c r="AC413" s="1294" t="s">
        <v>106</v>
      </c>
      <c r="AD413" s="1297" t="s">
        <v>32</v>
      </c>
      <c r="AE413" s="1294">
        <v>0.03</v>
      </c>
      <c r="AF413" s="1333">
        <v>0.03</v>
      </c>
      <c r="AG413" s="1333">
        <v>0.03</v>
      </c>
      <c r="AH413" s="1298">
        <f t="shared" si="25"/>
        <v>333450</v>
      </c>
    </row>
    <row r="414" spans="1:34" s="646" customFormat="1" ht="18.75" customHeight="1">
      <c r="A414" s="1294">
        <v>19.2</v>
      </c>
      <c r="B414" s="1312" t="s">
        <v>595</v>
      </c>
      <c r="C414" s="1294"/>
      <c r="D414" s="1295"/>
      <c r="E414" s="1294"/>
      <c r="F414" s="1294"/>
      <c r="G414" s="1294"/>
      <c r="H414" s="1294"/>
      <c r="I414" s="1294"/>
      <c r="J414" s="1294"/>
      <c r="K414" s="1294"/>
      <c r="L414" s="1296"/>
      <c r="M414" s="1296"/>
      <c r="N414" s="1296"/>
      <c r="O414" s="1296"/>
      <c r="P414" s="1294"/>
      <c r="Q414" s="1294"/>
      <c r="R414" s="1294"/>
      <c r="S414" s="1294"/>
      <c r="T414" s="1294"/>
      <c r="U414" s="1294">
        <v>1</v>
      </c>
      <c r="V414" s="1294"/>
      <c r="W414" s="1294"/>
      <c r="X414" s="1294"/>
      <c r="Y414" s="1294"/>
      <c r="Z414" s="1294"/>
      <c r="AA414" s="1294">
        <f t="shared" si="24"/>
        <v>1</v>
      </c>
      <c r="AB414" s="1294" t="s">
        <v>53</v>
      </c>
      <c r="AC414" s="1294" t="s">
        <v>106</v>
      </c>
      <c r="AD414" s="1297" t="s">
        <v>32</v>
      </c>
      <c r="AE414" s="1294">
        <v>0.04</v>
      </c>
      <c r="AF414" s="1333">
        <v>0.04</v>
      </c>
      <c r="AG414" s="1333">
        <v>0.04</v>
      </c>
      <c r="AH414" s="1298">
        <f t="shared" si="25"/>
        <v>333450</v>
      </c>
    </row>
    <row r="415" spans="1:34" s="638" customFormat="1" ht="25.5">
      <c r="A415" s="1046">
        <v>20</v>
      </c>
      <c r="B415" s="1304" t="s">
        <v>596</v>
      </c>
      <c r="C415" s="1046"/>
      <c r="D415" s="1045"/>
      <c r="E415" s="1046"/>
      <c r="F415" s="1046"/>
      <c r="G415" s="1046"/>
      <c r="H415" s="1046"/>
      <c r="I415" s="1046"/>
      <c r="J415" s="1046"/>
      <c r="K415" s="1046"/>
      <c r="L415" s="1047"/>
      <c r="M415" s="1047"/>
      <c r="N415" s="1047"/>
      <c r="O415" s="1047"/>
      <c r="P415" s="1046"/>
      <c r="Q415" s="1046"/>
      <c r="R415" s="1046"/>
      <c r="S415" s="1046"/>
      <c r="T415" s="1046"/>
      <c r="U415" s="1046"/>
      <c r="V415" s="1046"/>
      <c r="W415" s="1046"/>
      <c r="X415" s="1046"/>
      <c r="Y415" s="1046"/>
      <c r="Z415" s="1046"/>
      <c r="AA415" s="1046"/>
      <c r="AB415" s="1046"/>
      <c r="AC415" s="1046"/>
      <c r="AD415" s="1044"/>
      <c r="AE415" s="1334"/>
      <c r="AF415" s="1335"/>
      <c r="AG415" s="1335"/>
      <c r="AH415" s="1050"/>
    </row>
    <row r="416" spans="1:34" s="646" customFormat="1" ht="16.5" customHeight="1">
      <c r="A416" s="1294">
        <v>20.100000000000001</v>
      </c>
      <c r="B416" s="1312" t="s">
        <v>594</v>
      </c>
      <c r="C416" s="1294"/>
      <c r="D416" s="1295"/>
      <c r="E416" s="1294"/>
      <c r="F416" s="1294"/>
      <c r="G416" s="1294"/>
      <c r="H416" s="1294"/>
      <c r="I416" s="1294"/>
      <c r="J416" s="1294"/>
      <c r="K416" s="1294"/>
      <c r="L416" s="1296"/>
      <c r="M416" s="1296"/>
      <c r="N416" s="1296"/>
      <c r="O416" s="1296"/>
      <c r="P416" s="1294"/>
      <c r="Q416" s="1294"/>
      <c r="R416" s="1294"/>
      <c r="S416" s="1294"/>
      <c r="T416" s="1294">
        <v>1</v>
      </c>
      <c r="U416" s="1294"/>
      <c r="V416" s="1294"/>
      <c r="W416" s="1294"/>
      <c r="X416" s="1294"/>
      <c r="Y416" s="1294"/>
      <c r="Z416" s="1294"/>
      <c r="AA416" s="1294">
        <f t="shared" si="24"/>
        <v>1</v>
      </c>
      <c r="AB416" s="1294" t="s">
        <v>53</v>
      </c>
      <c r="AC416" s="1294" t="s">
        <v>69</v>
      </c>
      <c r="AD416" s="1297" t="s">
        <v>32</v>
      </c>
      <c r="AE416" s="1294">
        <v>0.04</v>
      </c>
      <c r="AF416" s="1333">
        <v>0.04</v>
      </c>
      <c r="AG416" s="1333">
        <v>0.04</v>
      </c>
      <c r="AH416" s="1298">
        <f t="shared" si="25"/>
        <v>296770.5</v>
      </c>
    </row>
    <row r="417" spans="1:34" s="646" customFormat="1" ht="16.5" customHeight="1">
      <c r="A417" s="1294">
        <v>20.2</v>
      </c>
      <c r="B417" s="1312" t="s">
        <v>595</v>
      </c>
      <c r="C417" s="1294"/>
      <c r="D417" s="1295"/>
      <c r="E417" s="1294"/>
      <c r="F417" s="1294"/>
      <c r="G417" s="1294"/>
      <c r="H417" s="1294"/>
      <c r="I417" s="1294"/>
      <c r="J417" s="1294"/>
      <c r="K417" s="1294"/>
      <c r="L417" s="1296"/>
      <c r="M417" s="1296"/>
      <c r="N417" s="1296"/>
      <c r="O417" s="1296"/>
      <c r="P417" s="1294"/>
      <c r="Q417" s="1294"/>
      <c r="R417" s="1294"/>
      <c r="S417" s="1294"/>
      <c r="T417" s="1294">
        <v>1</v>
      </c>
      <c r="U417" s="1294"/>
      <c r="V417" s="1294"/>
      <c r="W417" s="1294"/>
      <c r="X417" s="1294"/>
      <c r="Y417" s="1294"/>
      <c r="Z417" s="1294"/>
      <c r="AA417" s="1294">
        <f t="shared" si="24"/>
        <v>1</v>
      </c>
      <c r="AB417" s="1294" t="s">
        <v>53</v>
      </c>
      <c r="AC417" s="1294" t="s">
        <v>69</v>
      </c>
      <c r="AD417" s="1297" t="s">
        <v>32</v>
      </c>
      <c r="AE417" s="1294">
        <v>0.03</v>
      </c>
      <c r="AF417" s="1333">
        <v>0.03</v>
      </c>
      <c r="AG417" s="1333">
        <v>0.03</v>
      </c>
      <c r="AH417" s="1298">
        <f t="shared" si="25"/>
        <v>296770.5</v>
      </c>
    </row>
    <row r="418" spans="1:34" s="638" customFormat="1" ht="25.5">
      <c r="A418" s="1044" t="s">
        <v>302</v>
      </c>
      <c r="B418" s="1045" t="s">
        <v>177</v>
      </c>
      <c r="C418" s="1046"/>
      <c r="D418" s="1045"/>
      <c r="E418" s="1046"/>
      <c r="F418" s="1046"/>
      <c r="G418" s="1046"/>
      <c r="H418" s="1046"/>
      <c r="I418" s="1046"/>
      <c r="J418" s="1046"/>
      <c r="K418" s="1046"/>
      <c r="L418" s="1047"/>
      <c r="M418" s="1047"/>
      <c r="N418" s="1047"/>
      <c r="O418" s="1047"/>
      <c r="P418" s="1046"/>
      <c r="Q418" s="1046"/>
      <c r="R418" s="1046"/>
      <c r="S418" s="1046"/>
      <c r="T418" s="1046"/>
      <c r="U418" s="1046">
        <v>1</v>
      </c>
      <c r="V418" s="1046"/>
      <c r="W418" s="1046"/>
      <c r="X418" s="1046"/>
      <c r="Y418" s="1046"/>
      <c r="Z418" s="1046"/>
      <c r="AA418" s="1046">
        <f t="shared" si="24"/>
        <v>1</v>
      </c>
      <c r="AB418" s="1046" t="s">
        <v>1</v>
      </c>
      <c r="AC418" s="1046" t="s">
        <v>106</v>
      </c>
      <c r="AD418" s="1044" t="s">
        <v>32</v>
      </c>
      <c r="AE418" s="1048">
        <v>0.03</v>
      </c>
      <c r="AF418" s="1049">
        <v>0.17100000000000001</v>
      </c>
      <c r="AG418" s="1049">
        <v>0.23499999999999999</v>
      </c>
      <c r="AH418" s="1050">
        <f t="shared" si="25"/>
        <v>333450</v>
      </c>
    </row>
    <row r="419" spans="1:34" s="638" customFormat="1" ht="15">
      <c r="A419" s="1044" t="s">
        <v>304</v>
      </c>
      <c r="B419" s="1045" t="s">
        <v>179</v>
      </c>
      <c r="C419" s="1046"/>
      <c r="D419" s="1045"/>
      <c r="E419" s="1046"/>
      <c r="F419" s="1046"/>
      <c r="G419" s="1046"/>
      <c r="H419" s="1046"/>
      <c r="I419" s="1046"/>
      <c r="J419" s="1046"/>
      <c r="K419" s="1046"/>
      <c r="L419" s="1047"/>
      <c r="M419" s="1047"/>
      <c r="N419" s="1047"/>
      <c r="O419" s="1047"/>
      <c r="P419" s="1046"/>
      <c r="Q419" s="1046"/>
      <c r="R419" s="1046"/>
      <c r="S419" s="1046"/>
      <c r="T419" s="1046"/>
      <c r="U419" s="1046"/>
      <c r="V419" s="1046"/>
      <c r="W419" s="1046"/>
      <c r="X419" s="1046"/>
      <c r="Y419" s="1046"/>
      <c r="Z419" s="1046"/>
      <c r="AA419" s="1046">
        <f t="shared" si="24"/>
        <v>0</v>
      </c>
      <c r="AB419" s="1046"/>
      <c r="AC419" s="1046"/>
      <c r="AD419" s="1044"/>
      <c r="AE419" s="1048"/>
      <c r="AF419" s="1049"/>
      <c r="AG419" s="1049"/>
      <c r="AH419" s="1050">
        <f t="shared" si="25"/>
        <v>0</v>
      </c>
    </row>
    <row r="420" spans="1:34" s="646" customFormat="1" ht="15">
      <c r="A420" s="1297" t="s">
        <v>632</v>
      </c>
      <c r="B420" s="1295" t="s">
        <v>181</v>
      </c>
      <c r="C420" s="1046"/>
      <c r="D420" s="1045"/>
      <c r="E420" s="1046"/>
      <c r="F420" s="1046"/>
      <c r="G420" s="1046"/>
      <c r="H420" s="1046"/>
      <c r="I420" s="1046"/>
      <c r="J420" s="1046"/>
      <c r="K420" s="1046"/>
      <c r="L420" s="1047"/>
      <c r="M420" s="1047"/>
      <c r="N420" s="1047"/>
      <c r="O420" s="1047"/>
      <c r="P420" s="1046"/>
      <c r="Q420" s="1046"/>
      <c r="R420" s="1046"/>
      <c r="S420" s="1046"/>
      <c r="T420" s="1046">
        <v>1</v>
      </c>
      <c r="U420" s="1046"/>
      <c r="V420" s="1046"/>
      <c r="W420" s="1046"/>
      <c r="X420" s="1046"/>
      <c r="Y420" s="1046"/>
      <c r="Z420" s="1046"/>
      <c r="AA420" s="1046">
        <f t="shared" si="24"/>
        <v>1</v>
      </c>
      <c r="AB420" s="1046" t="s">
        <v>145</v>
      </c>
      <c r="AC420" s="1046" t="s">
        <v>69</v>
      </c>
      <c r="AD420" s="1044" t="s">
        <v>32</v>
      </c>
      <c r="AE420" s="1048">
        <v>0.1</v>
      </c>
      <c r="AF420" s="1049">
        <v>0.1</v>
      </c>
      <c r="AG420" s="1049">
        <v>0.1</v>
      </c>
      <c r="AH420" s="1050">
        <f t="shared" si="25"/>
        <v>296770.5</v>
      </c>
    </row>
    <row r="421" spans="1:34" s="646" customFormat="1" ht="15">
      <c r="A421" s="1297" t="s">
        <v>633</v>
      </c>
      <c r="B421" s="1295" t="s">
        <v>182</v>
      </c>
      <c r="C421" s="1046"/>
      <c r="D421" s="1045"/>
      <c r="E421" s="1046"/>
      <c r="F421" s="1046"/>
      <c r="G421" s="1046"/>
      <c r="H421" s="1046"/>
      <c r="I421" s="1046"/>
      <c r="J421" s="1046"/>
      <c r="K421" s="1046"/>
      <c r="L421" s="1047"/>
      <c r="M421" s="1047"/>
      <c r="N421" s="1047"/>
      <c r="O421" s="1047"/>
      <c r="P421" s="1046"/>
      <c r="Q421" s="1046"/>
      <c r="R421" s="1046"/>
      <c r="S421" s="1046"/>
      <c r="T421" s="1046">
        <v>1</v>
      </c>
      <c r="U421" s="1046"/>
      <c r="V421" s="1046"/>
      <c r="W421" s="1046"/>
      <c r="X421" s="1046"/>
      <c r="Y421" s="1046"/>
      <c r="Z421" s="1046"/>
      <c r="AA421" s="1046">
        <f t="shared" si="24"/>
        <v>1</v>
      </c>
      <c r="AB421" s="1046" t="s">
        <v>145</v>
      </c>
      <c r="AC421" s="1046" t="s">
        <v>69</v>
      </c>
      <c r="AD421" s="1044" t="s">
        <v>32</v>
      </c>
      <c r="AE421" s="1048">
        <v>0.15</v>
      </c>
      <c r="AF421" s="1049">
        <v>0.2</v>
      </c>
      <c r="AG421" s="1049">
        <v>0.2</v>
      </c>
      <c r="AH421" s="1050">
        <f t="shared" si="25"/>
        <v>296770.5</v>
      </c>
    </row>
    <row r="422" spans="1:34" s="646" customFormat="1" ht="25.5">
      <c r="A422" s="1044" t="s">
        <v>306</v>
      </c>
      <c r="B422" s="1045" t="s">
        <v>617</v>
      </c>
      <c r="C422" s="1046"/>
      <c r="D422" s="1045"/>
      <c r="E422" s="1046"/>
      <c r="F422" s="1046"/>
      <c r="G422" s="1046"/>
      <c r="H422" s="1046"/>
      <c r="I422" s="1046"/>
      <c r="J422" s="1046"/>
      <c r="K422" s="1046"/>
      <c r="L422" s="1047"/>
      <c r="M422" s="1047"/>
      <c r="N422" s="1047"/>
      <c r="O422" s="1047"/>
      <c r="P422" s="1046"/>
      <c r="Q422" s="1046"/>
      <c r="R422" s="1046"/>
      <c r="S422" s="1046"/>
      <c r="T422" s="1046">
        <v>1</v>
      </c>
      <c r="U422" s="1046"/>
      <c r="V422" s="1046"/>
      <c r="W422" s="1046"/>
      <c r="X422" s="1046"/>
      <c r="Y422" s="1046"/>
      <c r="Z422" s="1046"/>
      <c r="AA422" s="1046">
        <f t="shared" si="24"/>
        <v>1</v>
      </c>
      <c r="AB422" s="1046" t="s">
        <v>145</v>
      </c>
      <c r="AC422" s="1046" t="s">
        <v>69</v>
      </c>
      <c r="AD422" s="1044" t="s">
        <v>32</v>
      </c>
      <c r="AE422" s="1048">
        <v>0.1</v>
      </c>
      <c r="AF422" s="1049">
        <v>0.1</v>
      </c>
      <c r="AG422" s="1049">
        <v>0.1</v>
      </c>
      <c r="AH422" s="1050">
        <f t="shared" si="25"/>
        <v>296770.5</v>
      </c>
    </row>
    <row r="423" spans="1:34" s="638" customFormat="1" ht="44.25" customHeight="1">
      <c r="A423" s="1044" t="s">
        <v>308</v>
      </c>
      <c r="B423" s="1045" t="s">
        <v>605</v>
      </c>
      <c r="C423" s="1046"/>
      <c r="D423" s="1045"/>
      <c r="E423" s="1046"/>
      <c r="F423" s="1046"/>
      <c r="G423" s="1046"/>
      <c r="H423" s="1046"/>
      <c r="I423" s="1046"/>
      <c r="J423" s="1046"/>
      <c r="K423" s="1046"/>
      <c r="L423" s="1047"/>
      <c r="M423" s="1047"/>
      <c r="N423" s="1047"/>
      <c r="O423" s="1047"/>
      <c r="P423" s="1046"/>
      <c r="Q423" s="1046"/>
      <c r="R423" s="1046"/>
      <c r="S423" s="1046"/>
      <c r="T423" s="1046">
        <v>1</v>
      </c>
      <c r="U423" s="1046"/>
      <c r="V423" s="1046"/>
      <c r="W423" s="1046"/>
      <c r="X423" s="1046"/>
      <c r="Y423" s="1046"/>
      <c r="Z423" s="1046"/>
      <c r="AA423" s="1046">
        <f t="shared" si="24"/>
        <v>1</v>
      </c>
      <c r="AB423" s="1046" t="s">
        <v>145</v>
      </c>
      <c r="AC423" s="1046" t="s">
        <v>69</v>
      </c>
      <c r="AD423" s="1044" t="s">
        <v>32</v>
      </c>
      <c r="AE423" s="1048">
        <v>0.1</v>
      </c>
      <c r="AF423" s="1049">
        <v>0.1</v>
      </c>
      <c r="AG423" s="1049">
        <v>0.1</v>
      </c>
      <c r="AH423" s="1050">
        <f t="shared" si="25"/>
        <v>296770.5</v>
      </c>
    </row>
    <row r="424" spans="1:34" s="638" customFormat="1" ht="25.5">
      <c r="A424" s="1044" t="s">
        <v>310</v>
      </c>
      <c r="B424" s="1045" t="s">
        <v>699</v>
      </c>
      <c r="C424" s="1046"/>
      <c r="D424" s="1045"/>
      <c r="E424" s="1046"/>
      <c r="F424" s="1046"/>
      <c r="G424" s="1046"/>
      <c r="H424" s="1046"/>
      <c r="I424" s="1046"/>
      <c r="J424" s="1046"/>
      <c r="K424" s="1046"/>
      <c r="L424" s="1047"/>
      <c r="M424" s="1047"/>
      <c r="N424" s="1047"/>
      <c r="O424" s="1047"/>
      <c r="P424" s="1046"/>
      <c r="Q424" s="1046"/>
      <c r="R424" s="1046"/>
      <c r="S424" s="1046"/>
      <c r="T424" s="1046">
        <v>1</v>
      </c>
      <c r="U424" s="1046"/>
      <c r="V424" s="1046"/>
      <c r="W424" s="1046"/>
      <c r="X424" s="1046"/>
      <c r="Y424" s="1046"/>
      <c r="Z424" s="1046"/>
      <c r="AA424" s="1046">
        <f t="shared" si="24"/>
        <v>1</v>
      </c>
      <c r="AB424" s="1046" t="s">
        <v>53</v>
      </c>
      <c r="AC424" s="1046" t="s">
        <v>69</v>
      </c>
      <c r="AD424" s="1044" t="s">
        <v>32</v>
      </c>
      <c r="AE424" s="1048">
        <v>0.37</v>
      </c>
      <c r="AF424" s="1049">
        <v>0.37</v>
      </c>
      <c r="AG424" s="1049">
        <v>0.44400000000000001</v>
      </c>
      <c r="AH424" s="1050">
        <f t="shared" si="25"/>
        <v>296770.5</v>
      </c>
    </row>
    <row r="425" spans="1:34" s="638" customFormat="1" ht="15">
      <c r="A425" s="1036" t="s">
        <v>312</v>
      </c>
      <c r="B425" s="986" t="s">
        <v>186</v>
      </c>
      <c r="C425" s="987"/>
      <c r="D425" s="986"/>
      <c r="E425" s="987"/>
      <c r="F425" s="987"/>
      <c r="G425" s="987"/>
      <c r="H425" s="987"/>
      <c r="I425" s="987"/>
      <c r="J425" s="987"/>
      <c r="K425" s="987"/>
      <c r="L425" s="988"/>
      <c r="M425" s="988"/>
      <c r="N425" s="988"/>
      <c r="O425" s="988"/>
      <c r="P425" s="987"/>
      <c r="Q425" s="987"/>
      <c r="R425" s="987"/>
      <c r="S425" s="987"/>
      <c r="T425" s="987"/>
      <c r="U425" s="987">
        <v>1</v>
      </c>
      <c r="V425" s="987"/>
      <c r="W425" s="987"/>
      <c r="X425" s="987"/>
      <c r="Y425" s="987"/>
      <c r="Z425" s="987"/>
      <c r="AA425" s="987">
        <f t="shared" si="24"/>
        <v>1</v>
      </c>
      <c r="AB425" s="987" t="s">
        <v>1</v>
      </c>
      <c r="AC425" s="987" t="s">
        <v>106</v>
      </c>
      <c r="AD425" s="1036" t="s">
        <v>32</v>
      </c>
      <c r="AE425" s="990">
        <v>3.3000000000000002E-2</v>
      </c>
      <c r="AF425" s="1322">
        <v>3.3000000000000002E-2</v>
      </c>
      <c r="AG425" s="1322">
        <v>3.3000000000000002E-2</v>
      </c>
      <c r="AH425" s="989">
        <f t="shared" si="25"/>
        <v>333450</v>
      </c>
    </row>
    <row r="426" spans="1:34" s="638" customFormat="1" ht="25.5">
      <c r="A426" s="1036" t="s">
        <v>314</v>
      </c>
      <c r="B426" s="986" t="s">
        <v>189</v>
      </c>
      <c r="C426" s="987"/>
      <c r="D426" s="986"/>
      <c r="E426" s="987"/>
      <c r="F426" s="987"/>
      <c r="G426" s="987"/>
      <c r="H426" s="987"/>
      <c r="I426" s="987"/>
      <c r="J426" s="987"/>
      <c r="K426" s="987"/>
      <c r="L426" s="988"/>
      <c r="M426" s="988"/>
      <c r="N426" s="988"/>
      <c r="O426" s="988"/>
      <c r="P426" s="987"/>
      <c r="Q426" s="987"/>
      <c r="R426" s="987"/>
      <c r="S426" s="987"/>
      <c r="T426" s="987"/>
      <c r="U426" s="987"/>
      <c r="V426" s="987"/>
      <c r="W426" s="987"/>
      <c r="X426" s="987"/>
      <c r="Y426" s="987"/>
      <c r="Z426" s="987"/>
      <c r="AA426" s="987">
        <f t="shared" si="24"/>
        <v>0</v>
      </c>
      <c r="AB426" s="987"/>
      <c r="AC426" s="987"/>
      <c r="AD426" s="1036"/>
      <c r="AE426" s="990"/>
      <c r="AF426" s="1322"/>
      <c r="AG426" s="1322"/>
      <c r="AH426" s="989">
        <f t="shared" si="25"/>
        <v>0</v>
      </c>
    </row>
    <row r="427" spans="1:34" s="638" customFormat="1" ht="15">
      <c r="A427" s="1036" t="s">
        <v>700</v>
      </c>
      <c r="B427" s="986" t="s">
        <v>190</v>
      </c>
      <c r="C427" s="987"/>
      <c r="D427" s="986"/>
      <c r="E427" s="987"/>
      <c r="F427" s="987"/>
      <c r="G427" s="987"/>
      <c r="H427" s="987"/>
      <c r="I427" s="987"/>
      <c r="J427" s="987"/>
      <c r="K427" s="987"/>
      <c r="L427" s="988"/>
      <c r="M427" s="988"/>
      <c r="N427" s="988"/>
      <c r="O427" s="988"/>
      <c r="P427" s="987"/>
      <c r="Q427" s="987"/>
      <c r="R427" s="987"/>
      <c r="S427" s="987">
        <v>1</v>
      </c>
      <c r="T427" s="987"/>
      <c r="U427" s="987"/>
      <c r="V427" s="987"/>
      <c r="W427" s="987"/>
      <c r="X427" s="987"/>
      <c r="Y427" s="987"/>
      <c r="Z427" s="987"/>
      <c r="AA427" s="987">
        <f t="shared" si="24"/>
        <v>1</v>
      </c>
      <c r="AB427" s="987" t="s">
        <v>551</v>
      </c>
      <c r="AC427" s="987" t="s">
        <v>68</v>
      </c>
      <c r="AD427" s="1036" t="s">
        <v>32</v>
      </c>
      <c r="AE427" s="990">
        <v>1.6E-2</v>
      </c>
      <c r="AF427" s="1322">
        <v>1.6E-2</v>
      </c>
      <c r="AG427" s="1322">
        <v>0.02</v>
      </c>
      <c r="AH427" s="989">
        <f t="shared" si="25"/>
        <v>260091</v>
      </c>
    </row>
    <row r="428" spans="1:34" s="638" customFormat="1" ht="15">
      <c r="A428" s="1036" t="s">
        <v>701</v>
      </c>
      <c r="B428" s="986" t="s">
        <v>191</v>
      </c>
      <c r="C428" s="987"/>
      <c r="D428" s="986"/>
      <c r="E428" s="987"/>
      <c r="F428" s="987"/>
      <c r="G428" s="987"/>
      <c r="H428" s="987"/>
      <c r="I428" s="987"/>
      <c r="J428" s="987"/>
      <c r="K428" s="987"/>
      <c r="L428" s="988"/>
      <c r="M428" s="988"/>
      <c r="N428" s="988"/>
      <c r="O428" s="988"/>
      <c r="P428" s="987"/>
      <c r="Q428" s="987"/>
      <c r="R428" s="987"/>
      <c r="S428" s="987">
        <v>1</v>
      </c>
      <c r="T428" s="987"/>
      <c r="U428" s="987"/>
      <c r="V428" s="987"/>
      <c r="W428" s="987"/>
      <c r="X428" s="987"/>
      <c r="Y428" s="987"/>
      <c r="Z428" s="987"/>
      <c r="AA428" s="987">
        <f t="shared" si="24"/>
        <v>1</v>
      </c>
      <c r="AB428" s="987" t="s">
        <v>551</v>
      </c>
      <c r="AC428" s="987" t="s">
        <v>68</v>
      </c>
      <c r="AD428" s="1036" t="s">
        <v>32</v>
      </c>
      <c r="AE428" s="990">
        <v>8.0000000000000002E-3</v>
      </c>
      <c r="AF428" s="1322">
        <v>8.0000000000000002E-3</v>
      </c>
      <c r="AG428" s="1322">
        <v>0.01</v>
      </c>
      <c r="AH428" s="989">
        <f t="shared" si="25"/>
        <v>260091</v>
      </c>
    </row>
    <row r="429" spans="1:34" s="638" customFormat="1" ht="38.25">
      <c r="A429" s="1036" t="s">
        <v>316</v>
      </c>
      <c r="B429" s="986" t="s">
        <v>192</v>
      </c>
      <c r="C429" s="987"/>
      <c r="D429" s="986"/>
      <c r="E429" s="987"/>
      <c r="F429" s="987"/>
      <c r="G429" s="987"/>
      <c r="H429" s="987"/>
      <c r="I429" s="987"/>
      <c r="J429" s="987"/>
      <c r="K429" s="987"/>
      <c r="L429" s="988"/>
      <c r="M429" s="988"/>
      <c r="N429" s="988"/>
      <c r="O429" s="988"/>
      <c r="P429" s="987"/>
      <c r="Q429" s="987"/>
      <c r="R429" s="987"/>
      <c r="S429" s="987">
        <v>1</v>
      </c>
      <c r="T429" s="987"/>
      <c r="U429" s="987"/>
      <c r="V429" s="987"/>
      <c r="W429" s="987"/>
      <c r="X429" s="987"/>
      <c r="Y429" s="987"/>
      <c r="Z429" s="987"/>
      <c r="AA429" s="987">
        <f t="shared" si="24"/>
        <v>1</v>
      </c>
      <c r="AB429" s="987" t="s">
        <v>551</v>
      </c>
      <c r="AC429" s="987" t="s">
        <v>68</v>
      </c>
      <c r="AD429" s="1036" t="s">
        <v>32</v>
      </c>
      <c r="AE429" s="990">
        <v>4.0000000000000001E-3</v>
      </c>
      <c r="AF429" s="1322">
        <v>4.0000000000000001E-3</v>
      </c>
      <c r="AG429" s="1322">
        <v>5.0000000000000001E-3</v>
      </c>
      <c r="AH429" s="989">
        <f t="shared" si="25"/>
        <v>260091</v>
      </c>
    </row>
    <row r="430" spans="1:34" s="638" customFormat="1" ht="25.5">
      <c r="A430" s="1036" t="s">
        <v>318</v>
      </c>
      <c r="B430" s="986" t="s">
        <v>193</v>
      </c>
      <c r="C430" s="987"/>
      <c r="D430" s="986"/>
      <c r="E430" s="987"/>
      <c r="F430" s="987"/>
      <c r="G430" s="987"/>
      <c r="H430" s="987"/>
      <c r="I430" s="987"/>
      <c r="J430" s="987"/>
      <c r="K430" s="987"/>
      <c r="L430" s="988"/>
      <c r="M430" s="988"/>
      <c r="N430" s="988"/>
      <c r="O430" s="988"/>
      <c r="P430" s="987"/>
      <c r="Q430" s="987"/>
      <c r="R430" s="987"/>
      <c r="S430" s="987">
        <v>1</v>
      </c>
      <c r="T430" s="987"/>
      <c r="U430" s="987"/>
      <c r="V430" s="987"/>
      <c r="W430" s="987"/>
      <c r="X430" s="987"/>
      <c r="Y430" s="987"/>
      <c r="Z430" s="987"/>
      <c r="AA430" s="987">
        <f t="shared" si="24"/>
        <v>1</v>
      </c>
      <c r="AB430" s="987" t="s">
        <v>1</v>
      </c>
      <c r="AC430" s="987" t="s">
        <v>68</v>
      </c>
      <c r="AD430" s="1036" t="s">
        <v>32</v>
      </c>
      <c r="AE430" s="990">
        <v>0.01</v>
      </c>
      <c r="AF430" s="1322">
        <v>0.01</v>
      </c>
      <c r="AG430" s="1322">
        <v>0.01</v>
      </c>
      <c r="AH430" s="989">
        <f t="shared" si="25"/>
        <v>260091</v>
      </c>
    </row>
    <row r="431" spans="1:34" s="638" customFormat="1" ht="76.5">
      <c r="A431" s="1036" t="s">
        <v>635</v>
      </c>
      <c r="B431" s="986" t="s">
        <v>688</v>
      </c>
      <c r="C431" s="987"/>
      <c r="D431" s="986"/>
      <c r="E431" s="987"/>
      <c r="F431" s="987"/>
      <c r="G431" s="987"/>
      <c r="H431" s="987"/>
      <c r="I431" s="987"/>
      <c r="J431" s="987"/>
      <c r="K431" s="987"/>
      <c r="L431" s="988"/>
      <c r="M431" s="988"/>
      <c r="N431" s="988"/>
      <c r="O431" s="988"/>
      <c r="P431" s="987"/>
      <c r="Q431" s="987"/>
      <c r="R431" s="987"/>
      <c r="S431" s="987"/>
      <c r="T431" s="987">
        <v>1</v>
      </c>
      <c r="U431" s="987"/>
      <c r="V431" s="987"/>
      <c r="W431" s="987"/>
      <c r="X431" s="987"/>
      <c r="Y431" s="987"/>
      <c r="Z431" s="987"/>
      <c r="AA431" s="987">
        <f t="shared" si="24"/>
        <v>1</v>
      </c>
      <c r="AB431" s="987" t="s">
        <v>53</v>
      </c>
      <c r="AC431" s="987" t="s">
        <v>69</v>
      </c>
      <c r="AD431" s="1036" t="s">
        <v>32</v>
      </c>
      <c r="AE431" s="990">
        <v>0.05</v>
      </c>
      <c r="AF431" s="990">
        <v>0.05</v>
      </c>
      <c r="AG431" s="990">
        <v>6.5000000000000002E-2</v>
      </c>
      <c r="AH431" s="989">
        <f t="shared" si="25"/>
        <v>296770.5</v>
      </c>
    </row>
    <row r="432" spans="1:34" s="638" customFormat="1" ht="25.5">
      <c r="A432" s="1036" t="s">
        <v>636</v>
      </c>
      <c r="B432" s="986" t="s">
        <v>978</v>
      </c>
      <c r="C432" s="987"/>
      <c r="D432" s="986"/>
      <c r="E432" s="987"/>
      <c r="F432" s="987"/>
      <c r="G432" s="987"/>
      <c r="H432" s="987"/>
      <c r="I432" s="987"/>
      <c r="J432" s="987"/>
      <c r="K432" s="987"/>
      <c r="L432" s="988"/>
      <c r="M432" s="988"/>
      <c r="N432" s="988"/>
      <c r="O432" s="988"/>
      <c r="P432" s="987"/>
      <c r="Q432" s="987"/>
      <c r="R432" s="987"/>
      <c r="S432" s="987"/>
      <c r="T432" s="987">
        <v>1</v>
      </c>
      <c r="U432" s="987"/>
      <c r="V432" s="987"/>
      <c r="W432" s="987"/>
      <c r="X432" s="987"/>
      <c r="Y432" s="987"/>
      <c r="Z432" s="987"/>
      <c r="AA432" s="987">
        <f t="shared" si="24"/>
        <v>1</v>
      </c>
      <c r="AB432" s="987" t="s">
        <v>53</v>
      </c>
      <c r="AC432" s="987" t="s">
        <v>69</v>
      </c>
      <c r="AD432" s="1036" t="s">
        <v>32</v>
      </c>
      <c r="AE432" s="990">
        <v>0.1</v>
      </c>
      <c r="AF432" s="990">
        <v>0.1</v>
      </c>
      <c r="AG432" s="990">
        <v>0.13</v>
      </c>
      <c r="AH432" s="989">
        <f t="shared" si="25"/>
        <v>296770.5</v>
      </c>
    </row>
    <row r="433" spans="1:39" ht="22.15" hidden="1" customHeight="1">
      <c r="A433" s="938"/>
      <c r="B433" s="1390"/>
      <c r="C433" s="1390"/>
      <c r="D433" s="1390"/>
      <c r="E433" s="1390"/>
      <c r="F433" s="1390"/>
      <c r="G433" s="1390"/>
      <c r="H433" s="1390"/>
      <c r="I433" s="1390"/>
      <c r="J433" s="1390"/>
      <c r="K433" s="1390"/>
      <c r="L433" s="1390"/>
      <c r="M433" s="1390"/>
      <c r="N433" s="1390"/>
      <c r="O433" s="1390"/>
      <c r="P433" s="1390"/>
      <c r="Q433" s="1390"/>
      <c r="R433" s="1390"/>
      <c r="S433" s="1390"/>
      <c r="T433" s="1390"/>
      <c r="U433" s="1390"/>
      <c r="V433" s="1390"/>
      <c r="W433" s="1390"/>
      <c r="X433" s="1390"/>
      <c r="Y433" s="1390"/>
      <c r="Z433" s="1390"/>
      <c r="AA433" s="1390"/>
      <c r="AB433" s="1390"/>
      <c r="AC433" s="1390"/>
      <c r="AD433" s="1390"/>
      <c r="AE433" s="1390"/>
      <c r="AF433" s="165"/>
      <c r="AG433" s="827"/>
      <c r="AH433" s="165"/>
    </row>
    <row r="434" spans="1:39" hidden="1">
      <c r="A434" s="521"/>
      <c r="B434" s="525"/>
      <c r="C434" s="523"/>
      <c r="D434" s="525"/>
      <c r="E434" s="523"/>
      <c r="F434" s="523"/>
      <c r="G434" s="523"/>
      <c r="H434" s="523"/>
      <c r="I434" s="523"/>
      <c r="J434" s="523"/>
      <c r="K434" s="523"/>
      <c r="L434" s="952"/>
      <c r="M434" s="952"/>
      <c r="N434" s="952"/>
      <c r="O434" s="952"/>
      <c r="P434" s="523"/>
      <c r="Q434" s="523"/>
      <c r="R434" s="523"/>
      <c r="S434" s="523"/>
      <c r="T434" s="523"/>
      <c r="U434" s="523"/>
      <c r="V434" s="523"/>
      <c r="W434" s="523"/>
      <c r="X434" s="523"/>
      <c r="Y434" s="523"/>
      <c r="Z434" s="523"/>
      <c r="AA434" s="523"/>
      <c r="AB434" s="523"/>
      <c r="AC434" s="523"/>
      <c r="AD434" s="940"/>
      <c r="AE434" s="952"/>
      <c r="AF434" s="956"/>
      <c r="AG434" s="956"/>
      <c r="AH434" s="953"/>
    </row>
    <row r="435" spans="1:39" ht="22.15" customHeight="1">
      <c r="A435" s="110" t="s">
        <v>238</v>
      </c>
      <c r="B435" s="883" t="s">
        <v>258</v>
      </c>
      <c r="C435" s="884"/>
      <c r="D435" s="884"/>
      <c r="E435" s="884"/>
      <c r="F435" s="884"/>
      <c r="G435" s="884"/>
      <c r="H435" s="884"/>
      <c r="I435" s="884"/>
      <c r="J435" s="884"/>
      <c r="K435" s="884"/>
      <c r="L435" s="884"/>
      <c r="M435" s="884"/>
      <c r="N435" s="884"/>
      <c r="O435" s="884"/>
      <c r="P435" s="884"/>
      <c r="Q435" s="884"/>
      <c r="R435" s="884"/>
      <c r="S435" s="884"/>
      <c r="T435" s="884"/>
      <c r="U435" s="884"/>
      <c r="V435" s="884"/>
      <c r="W435" s="884"/>
      <c r="X435" s="884"/>
      <c r="Y435" s="884"/>
      <c r="Z435" s="884"/>
      <c r="AA435" s="884"/>
      <c r="AB435" s="884"/>
      <c r="AC435" s="884"/>
      <c r="AD435" s="884"/>
      <c r="AE435" s="884"/>
      <c r="AF435" s="887"/>
      <c r="AG435" s="104"/>
      <c r="AH435" s="457"/>
    </row>
    <row r="436" spans="1:39" ht="32.450000000000003" customHeight="1">
      <c r="A436" s="82" t="s">
        <v>33</v>
      </c>
      <c r="B436" s="1403" t="s">
        <v>630</v>
      </c>
      <c r="C436" s="1404"/>
      <c r="D436" s="1404"/>
      <c r="E436" s="1404"/>
      <c r="F436" s="1404"/>
      <c r="G436" s="1404"/>
      <c r="H436" s="1404"/>
      <c r="I436" s="1404"/>
      <c r="J436" s="1404"/>
      <c r="K436" s="1404"/>
      <c r="L436" s="1404"/>
      <c r="M436" s="1404"/>
      <c r="N436" s="1404"/>
      <c r="O436" s="1404"/>
      <c r="P436" s="1404"/>
      <c r="Q436" s="1404"/>
      <c r="R436" s="1404"/>
      <c r="S436" s="1404"/>
      <c r="T436" s="1404"/>
      <c r="U436" s="1404"/>
      <c r="V436" s="1404"/>
      <c r="W436" s="1404"/>
      <c r="X436" s="1404"/>
      <c r="Y436" s="1404"/>
      <c r="Z436" s="1404"/>
      <c r="AA436" s="1404"/>
      <c r="AB436" s="1404"/>
      <c r="AC436" s="1404"/>
      <c r="AD436" s="1405"/>
      <c r="AE436" s="78"/>
      <c r="AF436" s="103"/>
      <c r="AG436" s="103"/>
      <c r="AH436" s="113"/>
    </row>
    <row r="437" spans="1:39" ht="30" customHeight="1">
      <c r="A437" s="82" t="s">
        <v>34</v>
      </c>
      <c r="B437" s="1403" t="s">
        <v>634</v>
      </c>
      <c r="C437" s="1404"/>
      <c r="D437" s="1404"/>
      <c r="E437" s="1404"/>
      <c r="F437" s="1404"/>
      <c r="G437" s="1404"/>
      <c r="H437" s="1404"/>
      <c r="I437" s="1404"/>
      <c r="J437" s="1404"/>
      <c r="K437" s="1404"/>
      <c r="L437" s="1404"/>
      <c r="M437" s="1404"/>
      <c r="N437" s="1404"/>
      <c r="O437" s="1404"/>
      <c r="P437" s="1404"/>
      <c r="Q437" s="1404"/>
      <c r="R437" s="1404"/>
      <c r="S437" s="1404"/>
      <c r="T437" s="1404"/>
      <c r="U437" s="1404"/>
      <c r="V437" s="1404"/>
      <c r="W437" s="1404"/>
      <c r="X437" s="1404"/>
      <c r="Y437" s="1404"/>
      <c r="Z437" s="1404"/>
      <c r="AA437" s="1404"/>
      <c r="AB437" s="1404"/>
      <c r="AC437" s="1404"/>
      <c r="AD437" s="1405"/>
      <c r="AE437" s="79"/>
      <c r="AF437" s="119"/>
      <c r="AG437" s="119"/>
      <c r="AH437" s="113"/>
    </row>
    <row r="438" spans="1:39" ht="40.5" customHeight="1">
      <c r="A438" s="873" t="s">
        <v>239</v>
      </c>
      <c r="B438" s="1400" t="s">
        <v>702</v>
      </c>
      <c r="C438" s="1400"/>
      <c r="D438" s="1400"/>
      <c r="E438" s="1400"/>
      <c r="F438" s="1400"/>
      <c r="G438" s="1400"/>
      <c r="H438" s="1400"/>
      <c r="I438" s="1400"/>
      <c r="J438" s="1400"/>
      <c r="K438" s="1400"/>
      <c r="L438" s="1400"/>
      <c r="M438" s="1400"/>
      <c r="N438" s="1400"/>
      <c r="O438" s="1400"/>
      <c r="P438" s="1400"/>
      <c r="Q438" s="1400"/>
      <c r="R438" s="1400"/>
      <c r="S438" s="1400"/>
      <c r="T438" s="1400"/>
      <c r="U438" s="1400"/>
      <c r="V438" s="1400"/>
      <c r="W438" s="1400"/>
      <c r="X438" s="1400"/>
      <c r="Y438" s="1400"/>
      <c r="Z438" s="1400"/>
      <c r="AA438" s="1400"/>
      <c r="AB438" s="1400"/>
      <c r="AC438" s="1400"/>
      <c r="AD438" s="1400"/>
      <c r="AE438" s="949"/>
      <c r="AF438" s="949"/>
      <c r="AG438" s="949"/>
      <c r="AH438" s="949" t="s">
        <v>345</v>
      </c>
    </row>
    <row r="439" spans="1:39" ht="22.15" customHeight="1">
      <c r="A439" s="938" t="s">
        <v>240</v>
      </c>
      <c r="B439" s="1390" t="s">
        <v>196</v>
      </c>
      <c r="C439" s="1390"/>
      <c r="D439" s="1390"/>
      <c r="E439" s="1390"/>
      <c r="F439" s="1390"/>
      <c r="G439" s="1390"/>
      <c r="H439" s="1390"/>
      <c r="I439" s="1390"/>
      <c r="J439" s="1390"/>
      <c r="K439" s="1390"/>
      <c r="L439" s="1390"/>
      <c r="M439" s="1390"/>
      <c r="N439" s="1390"/>
      <c r="O439" s="1390"/>
      <c r="P439" s="1390"/>
      <c r="Q439" s="1390"/>
      <c r="R439" s="1390"/>
      <c r="S439" s="1390"/>
      <c r="T439" s="1390"/>
      <c r="U439" s="1390"/>
      <c r="V439" s="1390"/>
      <c r="W439" s="1390"/>
      <c r="X439" s="1390"/>
      <c r="Y439" s="1390"/>
      <c r="Z439" s="1390"/>
      <c r="AA439" s="1390"/>
      <c r="AB439" s="1390"/>
      <c r="AC439" s="1390"/>
      <c r="AD439" s="1390"/>
      <c r="AE439" s="827" t="s">
        <v>213</v>
      </c>
      <c r="AF439" s="827" t="s">
        <v>214</v>
      </c>
      <c r="AG439" s="827" t="s">
        <v>215</v>
      </c>
      <c r="AH439" s="165"/>
    </row>
    <row r="440" spans="1:39" s="638" customFormat="1" ht="15">
      <c r="A440" s="1044" t="s">
        <v>33</v>
      </c>
      <c r="B440" s="1045" t="s">
        <v>234</v>
      </c>
      <c r="C440" s="1046"/>
      <c r="D440" s="1045"/>
      <c r="E440" s="1046"/>
      <c r="F440" s="1046"/>
      <c r="G440" s="1046"/>
      <c r="H440" s="1046"/>
      <c r="I440" s="1046"/>
      <c r="J440" s="1046"/>
      <c r="K440" s="1046"/>
      <c r="L440" s="1047"/>
      <c r="M440" s="1047"/>
      <c r="N440" s="1047"/>
      <c r="O440" s="1047"/>
      <c r="P440" s="1046"/>
      <c r="Q440" s="1046"/>
      <c r="R440" s="1046"/>
      <c r="S440" s="1046"/>
      <c r="T440" s="1046"/>
      <c r="U440" s="1046"/>
      <c r="V440" s="1046"/>
      <c r="W440" s="1046"/>
      <c r="X440" s="1046"/>
      <c r="Y440" s="1046"/>
      <c r="Z440" s="1046"/>
      <c r="AA440" s="1046">
        <f t="shared" ref="AA440:AA480" si="26">SUM(C440:Z440)</f>
        <v>0</v>
      </c>
      <c r="AB440" s="1046"/>
      <c r="AC440" s="1046"/>
      <c r="AD440" s="1044"/>
      <c r="AE440" s="1046"/>
      <c r="AF440" s="1050"/>
      <c r="AG440" s="1045"/>
      <c r="AH440" s="1050">
        <f t="shared" ref="AH440:AH484" si="27">(C440*C$6+D440*D$6+E440*E$6+F440*F$6+G440*G$6+H440*H$6+I440*I$6+J440*J$6+K440*K$6+L440*L$6+M440*M$6+N440*N$6+O440*O$6+P440*P$6+Q440*Q$6+R440*R$6+S440*S$6+T440*T$6+U440*U$6+V440*V$6+W440*W$6+X440*X$6+Y440*Y$6+Z440*Z$6)</f>
        <v>0</v>
      </c>
    </row>
    <row r="441" spans="1:39" s="646" customFormat="1" ht="15">
      <c r="A441" s="1297" t="s">
        <v>134</v>
      </c>
      <c r="B441" s="1295" t="s">
        <v>153</v>
      </c>
      <c r="C441" s="1046"/>
      <c r="D441" s="1045"/>
      <c r="E441" s="1046"/>
      <c r="F441" s="1046"/>
      <c r="G441" s="1046"/>
      <c r="H441" s="1046"/>
      <c r="I441" s="1046"/>
      <c r="J441" s="1046"/>
      <c r="K441" s="1046"/>
      <c r="L441" s="1047"/>
      <c r="M441" s="1047"/>
      <c r="N441" s="1047"/>
      <c r="O441" s="1047"/>
      <c r="P441" s="1046"/>
      <c r="Q441" s="1046"/>
      <c r="R441" s="1046"/>
      <c r="S441" s="1046"/>
      <c r="T441" s="1046"/>
      <c r="U441" s="1046">
        <v>1</v>
      </c>
      <c r="V441" s="1046"/>
      <c r="W441" s="1046"/>
      <c r="X441" s="1046"/>
      <c r="Y441" s="1046"/>
      <c r="Z441" s="1046"/>
      <c r="AA441" s="1046">
        <f t="shared" si="26"/>
        <v>1</v>
      </c>
      <c r="AB441" s="1046" t="s">
        <v>53</v>
      </c>
      <c r="AC441" s="1046" t="s">
        <v>106</v>
      </c>
      <c r="AD441" s="1044" t="s">
        <v>32</v>
      </c>
      <c r="AE441" s="1048">
        <v>0.2</v>
      </c>
      <c r="AF441" s="1049">
        <v>0.2</v>
      </c>
      <c r="AG441" s="1049">
        <v>0.26</v>
      </c>
      <c r="AH441" s="1050">
        <f t="shared" si="27"/>
        <v>333450</v>
      </c>
      <c r="AJ441" s="638"/>
      <c r="AK441" s="638"/>
      <c r="AL441" s="638"/>
      <c r="AM441" s="638"/>
    </row>
    <row r="442" spans="1:39" s="646" customFormat="1" ht="15">
      <c r="A442" s="1297" t="s">
        <v>135</v>
      </c>
      <c r="B442" s="1295" t="s">
        <v>155</v>
      </c>
      <c r="C442" s="1046"/>
      <c r="D442" s="1045"/>
      <c r="E442" s="1046"/>
      <c r="F442" s="1046"/>
      <c r="G442" s="1046"/>
      <c r="H442" s="1046"/>
      <c r="I442" s="1046"/>
      <c r="J442" s="1046"/>
      <c r="K442" s="1046"/>
      <c r="L442" s="1047"/>
      <c r="M442" s="1047"/>
      <c r="N442" s="1047"/>
      <c r="O442" s="1047"/>
      <c r="P442" s="1046"/>
      <c r="Q442" s="1046"/>
      <c r="R442" s="1046"/>
      <c r="S442" s="1046"/>
      <c r="T442" s="1046"/>
      <c r="U442" s="1046">
        <v>1</v>
      </c>
      <c r="V442" s="1046"/>
      <c r="W442" s="1046"/>
      <c r="X442" s="1046"/>
      <c r="Y442" s="1046"/>
      <c r="Z442" s="1046"/>
      <c r="AA442" s="1046">
        <f t="shared" si="26"/>
        <v>1</v>
      </c>
      <c r="AB442" s="1046" t="s">
        <v>53</v>
      </c>
      <c r="AC442" s="1046" t="s">
        <v>106</v>
      </c>
      <c r="AD442" s="1044" t="s">
        <v>32</v>
      </c>
      <c r="AE442" s="1048">
        <v>0.15</v>
      </c>
      <c r="AF442" s="1049">
        <v>0.15</v>
      </c>
      <c r="AG442" s="1049">
        <v>0.19500000000000001</v>
      </c>
      <c r="AH442" s="1050">
        <f t="shared" si="27"/>
        <v>333450</v>
      </c>
      <c r="AJ442" s="638"/>
      <c r="AK442" s="638"/>
      <c r="AL442" s="638"/>
      <c r="AM442" s="638"/>
    </row>
    <row r="443" spans="1:39" s="638" customFormat="1" ht="51">
      <c r="A443" s="1044" t="s">
        <v>34</v>
      </c>
      <c r="B443" s="1045" t="s">
        <v>715</v>
      </c>
      <c r="C443" s="1046"/>
      <c r="D443" s="1045"/>
      <c r="E443" s="1046"/>
      <c r="F443" s="1046"/>
      <c r="G443" s="1046"/>
      <c r="H443" s="1046"/>
      <c r="I443" s="1046"/>
      <c r="J443" s="1046"/>
      <c r="K443" s="1046"/>
      <c r="L443" s="1047"/>
      <c r="M443" s="1047"/>
      <c r="N443" s="1047"/>
      <c r="O443" s="1047"/>
      <c r="P443" s="1046"/>
      <c r="Q443" s="1046"/>
      <c r="R443" s="1046"/>
      <c r="S443" s="1046"/>
      <c r="T443" s="1046"/>
      <c r="U443" s="1046">
        <v>1</v>
      </c>
      <c r="V443" s="1046"/>
      <c r="W443" s="1046"/>
      <c r="X443" s="1046"/>
      <c r="Y443" s="1046"/>
      <c r="Z443" s="1046"/>
      <c r="AA443" s="1046">
        <f t="shared" si="26"/>
        <v>1</v>
      </c>
      <c r="AB443" s="1046" t="s">
        <v>53</v>
      </c>
      <c r="AC443" s="1046" t="s">
        <v>106</v>
      </c>
      <c r="AD443" s="1044" t="s">
        <v>32</v>
      </c>
      <c r="AE443" s="1048">
        <v>0.3</v>
      </c>
      <c r="AF443" s="1049">
        <v>0.3</v>
      </c>
      <c r="AG443" s="1049">
        <v>0.39</v>
      </c>
      <c r="AH443" s="1050">
        <f t="shared" si="27"/>
        <v>333450</v>
      </c>
    </row>
    <row r="444" spans="1:39" s="638" customFormat="1" ht="25.5">
      <c r="A444" s="1036" t="s">
        <v>35</v>
      </c>
      <c r="B444" s="986" t="s">
        <v>216</v>
      </c>
      <c r="C444" s="987"/>
      <c r="D444" s="986"/>
      <c r="E444" s="987"/>
      <c r="F444" s="987"/>
      <c r="G444" s="987"/>
      <c r="H444" s="987"/>
      <c r="I444" s="987"/>
      <c r="J444" s="987"/>
      <c r="K444" s="987"/>
      <c r="L444" s="988"/>
      <c r="M444" s="988"/>
      <c r="N444" s="988"/>
      <c r="O444" s="988"/>
      <c r="P444" s="987"/>
      <c r="Q444" s="987"/>
      <c r="R444" s="987"/>
      <c r="S444" s="987"/>
      <c r="T444" s="987"/>
      <c r="U444" s="987">
        <v>1</v>
      </c>
      <c r="V444" s="987"/>
      <c r="W444" s="987"/>
      <c r="X444" s="987"/>
      <c r="Y444" s="987"/>
      <c r="Z444" s="987"/>
      <c r="AA444" s="987">
        <f t="shared" si="26"/>
        <v>1</v>
      </c>
      <c r="AB444" s="987" t="s">
        <v>1</v>
      </c>
      <c r="AC444" s="987" t="s">
        <v>106</v>
      </c>
      <c r="AD444" s="1036" t="s">
        <v>32</v>
      </c>
      <c r="AE444" s="990">
        <v>0.107</v>
      </c>
      <c r="AF444" s="1322">
        <v>3.3000000000000002E-2</v>
      </c>
      <c r="AG444" s="1322">
        <v>0.16700000000000001</v>
      </c>
      <c r="AH444" s="989">
        <f t="shared" si="27"/>
        <v>333450</v>
      </c>
    </row>
    <row r="445" spans="1:39" s="638" customFormat="1" ht="25.5">
      <c r="A445" s="1036" t="s">
        <v>158</v>
      </c>
      <c r="B445" s="986" t="s">
        <v>189</v>
      </c>
      <c r="C445" s="987"/>
      <c r="D445" s="986"/>
      <c r="E445" s="987"/>
      <c r="F445" s="987"/>
      <c r="G445" s="987"/>
      <c r="H445" s="987"/>
      <c r="I445" s="987"/>
      <c r="J445" s="987"/>
      <c r="K445" s="987"/>
      <c r="L445" s="988"/>
      <c r="M445" s="988"/>
      <c r="N445" s="988"/>
      <c r="O445" s="988"/>
      <c r="P445" s="987"/>
      <c r="Q445" s="987"/>
      <c r="R445" s="987"/>
      <c r="S445" s="987"/>
      <c r="T445" s="987"/>
      <c r="U445" s="987"/>
      <c r="V445" s="987"/>
      <c r="W445" s="987"/>
      <c r="X445" s="987"/>
      <c r="Y445" s="987"/>
      <c r="Z445" s="987"/>
      <c r="AA445" s="987">
        <f>SUM(C445:Z445)</f>
        <v>0</v>
      </c>
      <c r="AB445" s="987"/>
      <c r="AC445" s="987"/>
      <c r="AD445" s="1036"/>
      <c r="AE445" s="987"/>
      <c r="AF445" s="989"/>
      <c r="AG445" s="986"/>
      <c r="AH445" s="989">
        <f>(C445*C$6+D445*D$6+E445*E$6+F445*F$6+G445*G$6+H445*H$6+I445*I$6+J445*J$6+K445*K$6+L445*L$6+M445*M$6+N445*N$6+O445*O$6+P445*P$6+Q445*Q$6+R445*R$6+S445*S$6+T445*T$6+U445*U$6+V445*V$6+W445*W$6+X445*X$6+Y445*Y$6+Z445*Z$6)</f>
        <v>0</v>
      </c>
    </row>
    <row r="446" spans="1:39" s="646" customFormat="1" ht="15">
      <c r="A446" s="1041" t="s">
        <v>217</v>
      </c>
      <c r="B446" s="1039" t="s">
        <v>190</v>
      </c>
      <c r="C446" s="1038"/>
      <c r="D446" s="1039"/>
      <c r="E446" s="1038"/>
      <c r="F446" s="1038"/>
      <c r="G446" s="1038"/>
      <c r="H446" s="1038"/>
      <c r="I446" s="1038"/>
      <c r="J446" s="1038"/>
      <c r="K446" s="1038"/>
      <c r="L446" s="1040"/>
      <c r="M446" s="1040"/>
      <c r="N446" s="1040"/>
      <c r="O446" s="1040"/>
      <c r="P446" s="1038"/>
      <c r="Q446" s="1038"/>
      <c r="R446" s="1038"/>
      <c r="S446" s="1038">
        <v>1</v>
      </c>
      <c r="T446" s="1038"/>
      <c r="U446" s="1038"/>
      <c r="V446" s="1038"/>
      <c r="W446" s="1038"/>
      <c r="X446" s="1038"/>
      <c r="Y446" s="1038"/>
      <c r="Z446" s="1038"/>
      <c r="AA446" s="1038">
        <f>SUM(C446:Z446)</f>
        <v>1</v>
      </c>
      <c r="AB446" s="1038" t="s">
        <v>551</v>
      </c>
      <c r="AC446" s="1038" t="s">
        <v>68</v>
      </c>
      <c r="AD446" s="1041" t="s">
        <v>32</v>
      </c>
      <c r="AE446" s="1042">
        <v>1.6E-2</v>
      </c>
      <c r="AF446" s="1328">
        <v>0.02</v>
      </c>
      <c r="AG446" s="1328">
        <v>2.4E-2</v>
      </c>
      <c r="AH446" s="1043">
        <f>(C446*C$6+D446*D$6+E446*E$6+F446*F$6+G446*G$6+H446*H$6+I446*I$6+J446*J$6+K446*K$6+L446*L$6+M446*M$6+N446*N$6+O446*O$6+P446*P$6+Q446*Q$6+R446*R$6+S446*S$6+T446*T$6+U446*U$6+V446*V$6+W446*W$6+X446*X$6+Y446*Y$6+Z446*Z$6)</f>
        <v>260091</v>
      </c>
    </row>
    <row r="447" spans="1:39" s="646" customFormat="1" ht="15">
      <c r="A447" s="1041" t="s">
        <v>218</v>
      </c>
      <c r="B447" s="1039" t="s">
        <v>191</v>
      </c>
      <c r="C447" s="1038"/>
      <c r="D447" s="1039"/>
      <c r="E447" s="1038"/>
      <c r="F447" s="1038"/>
      <c r="G447" s="1038"/>
      <c r="H447" s="1038"/>
      <c r="I447" s="1038"/>
      <c r="J447" s="1038"/>
      <c r="K447" s="1038"/>
      <c r="L447" s="1040"/>
      <c r="M447" s="1040"/>
      <c r="N447" s="1040"/>
      <c r="O447" s="1040"/>
      <c r="P447" s="1038"/>
      <c r="Q447" s="1038"/>
      <c r="R447" s="1038"/>
      <c r="S447" s="1038">
        <v>1</v>
      </c>
      <c r="T447" s="1038"/>
      <c r="U447" s="1038"/>
      <c r="V447" s="1038"/>
      <c r="W447" s="1038"/>
      <c r="X447" s="1038"/>
      <c r="Y447" s="1038"/>
      <c r="Z447" s="1038"/>
      <c r="AA447" s="1038">
        <f>SUM(C447:Z447)</f>
        <v>1</v>
      </c>
      <c r="AB447" s="1038" t="s">
        <v>551</v>
      </c>
      <c r="AC447" s="1038" t="s">
        <v>68</v>
      </c>
      <c r="AD447" s="1041" t="s">
        <v>32</v>
      </c>
      <c r="AE447" s="1042">
        <v>8.0000000000000002E-3</v>
      </c>
      <c r="AF447" s="1328">
        <v>0.01</v>
      </c>
      <c r="AG447" s="1328">
        <v>1.2E-2</v>
      </c>
      <c r="AH447" s="1043">
        <f>(C447*C$6+D447*D$6+E447*E$6+F447*F$6+G447*G$6+H447*H$6+I447*I$6+J447*J$6+K447*K$6+L447*L$6+M447*M$6+N447*N$6+O447*O$6+P447*P$6+Q447*Q$6+R447*R$6+S447*S$6+T447*T$6+U447*U$6+V447*V$6+W447*W$6+X447*X$6+Y447*Y$6+Z447*Z$6)</f>
        <v>260091</v>
      </c>
    </row>
    <row r="448" spans="1:39" s="638" customFormat="1" ht="38.25">
      <c r="A448" s="1036" t="s">
        <v>159</v>
      </c>
      <c r="B448" s="986" t="s">
        <v>192</v>
      </c>
      <c r="C448" s="987"/>
      <c r="D448" s="986"/>
      <c r="E448" s="987"/>
      <c r="F448" s="987"/>
      <c r="G448" s="987"/>
      <c r="H448" s="987"/>
      <c r="I448" s="987"/>
      <c r="J448" s="987"/>
      <c r="K448" s="987"/>
      <c r="L448" s="988"/>
      <c r="M448" s="988"/>
      <c r="N448" s="988"/>
      <c r="O448" s="988"/>
      <c r="P448" s="987"/>
      <c r="Q448" s="987"/>
      <c r="R448" s="987"/>
      <c r="S448" s="987">
        <v>1</v>
      </c>
      <c r="T448" s="987"/>
      <c r="U448" s="987"/>
      <c r="V448" s="987"/>
      <c r="W448" s="987"/>
      <c r="X448" s="987"/>
      <c r="Y448" s="987"/>
      <c r="Z448" s="987"/>
      <c r="AA448" s="987">
        <f>SUM(C448:Z448)</f>
        <v>1</v>
      </c>
      <c r="AB448" s="987" t="s">
        <v>551</v>
      </c>
      <c r="AC448" s="987" t="s">
        <v>68</v>
      </c>
      <c r="AD448" s="1036" t="s">
        <v>32</v>
      </c>
      <c r="AE448" s="990">
        <v>4.0000000000000001E-3</v>
      </c>
      <c r="AF448" s="1322">
        <v>5.0000000000000001E-3</v>
      </c>
      <c r="AG448" s="1322">
        <v>6.0000000000000001E-3</v>
      </c>
      <c r="AH448" s="989">
        <f>(C448*C$6+D448*D$6+E448*E$6+F448*F$6+G448*G$6+H448*H$6+I448*I$6+J448*J$6+K448*K$6+L448*L$6+M448*M$6+N448*N$6+O448*O$6+P448*P$6+Q448*Q$6+R448*R$6+S448*S$6+T448*T$6+U448*U$6+V448*V$6+W448*W$6+X448*X$6+Y448*Y$6+Z448*Z$6)</f>
        <v>260091</v>
      </c>
    </row>
    <row r="449" spans="1:34" s="638" customFormat="1" ht="15">
      <c r="A449" s="1046">
        <v>6</v>
      </c>
      <c r="B449" s="1304" t="s">
        <v>591</v>
      </c>
      <c r="C449" s="987"/>
      <c r="D449" s="986"/>
      <c r="E449" s="987"/>
      <c r="F449" s="987"/>
      <c r="G449" s="987"/>
      <c r="H449" s="987"/>
      <c r="I449" s="987"/>
      <c r="J449" s="987"/>
      <c r="K449" s="987"/>
      <c r="L449" s="988"/>
      <c r="M449" s="988"/>
      <c r="N449" s="988"/>
      <c r="O449" s="988"/>
      <c r="P449" s="987"/>
      <c r="Q449" s="987"/>
      <c r="R449" s="987"/>
      <c r="S449" s="987"/>
      <c r="T449" s="987"/>
      <c r="U449" s="987"/>
      <c r="V449" s="987"/>
      <c r="W449" s="987"/>
      <c r="X449" s="987"/>
      <c r="Y449" s="987"/>
      <c r="Z449" s="987"/>
      <c r="AA449" s="987"/>
      <c r="AB449" s="987"/>
      <c r="AC449" s="987"/>
      <c r="AD449" s="1036"/>
      <c r="AE449" s="987"/>
      <c r="AF449" s="989"/>
      <c r="AG449" s="986"/>
      <c r="AH449" s="989"/>
    </row>
    <row r="450" spans="1:34" s="646" customFormat="1" ht="15">
      <c r="A450" s="1294">
        <v>6.1</v>
      </c>
      <c r="B450" s="1312" t="s">
        <v>153</v>
      </c>
      <c r="C450" s="1038"/>
      <c r="D450" s="1039"/>
      <c r="E450" s="1038"/>
      <c r="F450" s="1038"/>
      <c r="G450" s="1038"/>
      <c r="H450" s="1038"/>
      <c r="I450" s="1038"/>
      <c r="J450" s="1038"/>
      <c r="K450" s="1038"/>
      <c r="L450" s="1040"/>
      <c r="M450" s="1040"/>
      <c r="N450" s="1040"/>
      <c r="O450" s="1040"/>
      <c r="P450" s="1038"/>
      <c r="Q450" s="1038"/>
      <c r="R450" s="1038"/>
      <c r="S450" s="1038"/>
      <c r="T450" s="1038">
        <v>1</v>
      </c>
      <c r="U450" s="1038"/>
      <c r="V450" s="1038"/>
      <c r="W450" s="1038"/>
      <c r="X450" s="1038"/>
      <c r="Y450" s="1038"/>
      <c r="Z450" s="1038"/>
      <c r="AA450" s="1038">
        <f t="shared" si="26"/>
        <v>1</v>
      </c>
      <c r="AB450" s="1038" t="s">
        <v>53</v>
      </c>
      <c r="AC450" s="1038" t="s">
        <v>69</v>
      </c>
      <c r="AD450" s="1041" t="s">
        <v>32</v>
      </c>
      <c r="AE450" s="1294">
        <v>5.0000000000000001E-3</v>
      </c>
      <c r="AF450" s="1294">
        <v>5.0000000000000001E-3</v>
      </c>
      <c r="AG450" s="1294">
        <v>5.0000000000000001E-3</v>
      </c>
      <c r="AH450" s="1043">
        <f t="shared" si="27"/>
        <v>296770.5</v>
      </c>
    </row>
    <row r="451" spans="1:34" s="646" customFormat="1" ht="15">
      <c r="A451" s="1294">
        <v>6.2</v>
      </c>
      <c r="B451" s="1312" t="s">
        <v>155</v>
      </c>
      <c r="C451" s="1038"/>
      <c r="D451" s="1039"/>
      <c r="E451" s="1038"/>
      <c r="F451" s="1038"/>
      <c r="G451" s="1038"/>
      <c r="H451" s="1038"/>
      <c r="I451" s="1038"/>
      <c r="J451" s="1038"/>
      <c r="K451" s="1038"/>
      <c r="L451" s="1040"/>
      <c r="M451" s="1040"/>
      <c r="N451" s="1040"/>
      <c r="O451" s="1040"/>
      <c r="P451" s="1038"/>
      <c r="Q451" s="1038"/>
      <c r="R451" s="1038"/>
      <c r="S451" s="1038"/>
      <c r="T451" s="1038">
        <v>1</v>
      </c>
      <c r="U451" s="1038"/>
      <c r="V451" s="1038"/>
      <c r="W451" s="1038"/>
      <c r="X451" s="1038"/>
      <c r="Y451" s="1038"/>
      <c r="Z451" s="1038"/>
      <c r="AA451" s="1038">
        <f t="shared" si="26"/>
        <v>1</v>
      </c>
      <c r="AB451" s="1038" t="s">
        <v>53</v>
      </c>
      <c r="AC451" s="1038" t="s">
        <v>69</v>
      </c>
      <c r="AD451" s="1041" t="s">
        <v>32</v>
      </c>
      <c r="AE451" s="1294">
        <v>4.0000000000000001E-3</v>
      </c>
      <c r="AF451" s="1294">
        <v>4.0000000000000001E-3</v>
      </c>
      <c r="AG451" s="1294">
        <v>4.0000000000000001E-3</v>
      </c>
      <c r="AH451" s="1043">
        <f t="shared" si="27"/>
        <v>296770.5</v>
      </c>
    </row>
    <row r="452" spans="1:34" s="638" customFormat="1" ht="102">
      <c r="A452" s="1036" t="s">
        <v>161</v>
      </c>
      <c r="B452" s="986" t="s">
        <v>631</v>
      </c>
      <c r="C452" s="987"/>
      <c r="D452" s="986"/>
      <c r="E452" s="987"/>
      <c r="F452" s="987"/>
      <c r="G452" s="987"/>
      <c r="H452" s="987"/>
      <c r="I452" s="987"/>
      <c r="J452" s="987"/>
      <c r="K452" s="987"/>
      <c r="L452" s="988"/>
      <c r="M452" s="988"/>
      <c r="N452" s="988"/>
      <c r="O452" s="988"/>
      <c r="P452" s="987"/>
      <c r="Q452" s="987"/>
      <c r="R452" s="987"/>
      <c r="S452" s="987"/>
      <c r="T452" s="987">
        <v>1</v>
      </c>
      <c r="U452" s="987">
        <v>1</v>
      </c>
      <c r="V452" s="987"/>
      <c r="W452" s="987"/>
      <c r="X452" s="987"/>
      <c r="Y452" s="987"/>
      <c r="Z452" s="987"/>
      <c r="AA452" s="987">
        <f t="shared" si="26"/>
        <v>2</v>
      </c>
      <c r="AB452" s="987" t="s">
        <v>53</v>
      </c>
      <c r="AC452" s="987" t="s">
        <v>548</v>
      </c>
      <c r="AD452" s="1036" t="s">
        <v>32</v>
      </c>
      <c r="AE452" s="988">
        <v>2</v>
      </c>
      <c r="AF452" s="1336">
        <v>2</v>
      </c>
      <c r="AG452" s="1336">
        <v>2.6</v>
      </c>
      <c r="AH452" s="989">
        <f t="shared" si="27"/>
        <v>630220.5</v>
      </c>
    </row>
    <row r="453" spans="1:34" s="638" customFormat="1" ht="76.5">
      <c r="A453" s="1046">
        <v>8</v>
      </c>
      <c r="B453" s="1337" t="s">
        <v>600</v>
      </c>
      <c r="C453" s="987"/>
      <c r="D453" s="986"/>
      <c r="E453" s="987"/>
      <c r="F453" s="987"/>
      <c r="G453" s="987"/>
      <c r="H453" s="987"/>
      <c r="I453" s="987"/>
      <c r="J453" s="987"/>
      <c r="K453" s="987"/>
      <c r="L453" s="988"/>
      <c r="M453" s="988"/>
      <c r="N453" s="988"/>
      <c r="O453" s="988"/>
      <c r="P453" s="987"/>
      <c r="Q453" s="987"/>
      <c r="R453" s="987"/>
      <c r="S453" s="987"/>
      <c r="T453" s="987"/>
      <c r="U453" s="987">
        <v>1</v>
      </c>
      <c r="V453" s="987"/>
      <c r="W453" s="987"/>
      <c r="X453" s="987"/>
      <c r="Y453" s="987"/>
      <c r="Z453" s="987"/>
      <c r="AA453" s="987">
        <f t="shared" si="26"/>
        <v>1</v>
      </c>
      <c r="AB453" s="987" t="s">
        <v>53</v>
      </c>
      <c r="AC453" s="987" t="s">
        <v>106</v>
      </c>
      <c r="AD453" s="1036" t="s">
        <v>32</v>
      </c>
      <c r="AE453" s="1048">
        <v>0.2</v>
      </c>
      <c r="AF453" s="1048">
        <v>0.2</v>
      </c>
      <c r="AG453" s="1048">
        <v>0.26</v>
      </c>
      <c r="AH453" s="989">
        <f t="shared" si="27"/>
        <v>333450</v>
      </c>
    </row>
    <row r="454" spans="1:34" s="638" customFormat="1" ht="25.5">
      <c r="A454" s="1046">
        <v>9</v>
      </c>
      <c r="B454" s="1045" t="s">
        <v>602</v>
      </c>
      <c r="C454" s="987"/>
      <c r="D454" s="986"/>
      <c r="E454" s="987"/>
      <c r="F454" s="987"/>
      <c r="G454" s="987"/>
      <c r="H454" s="987"/>
      <c r="I454" s="987"/>
      <c r="J454" s="987"/>
      <c r="K454" s="987"/>
      <c r="L454" s="988"/>
      <c r="M454" s="988"/>
      <c r="N454" s="988"/>
      <c r="O454" s="988"/>
      <c r="P454" s="987"/>
      <c r="Q454" s="987"/>
      <c r="R454" s="987"/>
      <c r="S454" s="987"/>
      <c r="T454" s="987"/>
      <c r="U454" s="987">
        <v>1</v>
      </c>
      <c r="V454" s="987"/>
      <c r="W454" s="987"/>
      <c r="X454" s="987"/>
      <c r="Y454" s="987"/>
      <c r="Z454" s="987"/>
      <c r="AA454" s="987">
        <f t="shared" si="26"/>
        <v>1</v>
      </c>
      <c r="AB454" s="987" t="s">
        <v>53</v>
      </c>
      <c r="AC454" s="987" t="s">
        <v>106</v>
      </c>
      <c r="AD454" s="1036" t="s">
        <v>32</v>
      </c>
      <c r="AE454" s="1048">
        <v>0.2</v>
      </c>
      <c r="AF454" s="1048">
        <v>0.2</v>
      </c>
      <c r="AG454" s="1048">
        <v>0.26</v>
      </c>
      <c r="AH454" s="989">
        <f t="shared" si="27"/>
        <v>333450</v>
      </c>
    </row>
    <row r="455" spans="1:34" s="638" customFormat="1" ht="63.75">
      <c r="A455" s="1046">
        <v>10</v>
      </c>
      <c r="B455" s="1304" t="s">
        <v>609</v>
      </c>
      <c r="C455" s="987"/>
      <c r="D455" s="986"/>
      <c r="E455" s="987"/>
      <c r="F455" s="987"/>
      <c r="G455" s="987"/>
      <c r="H455" s="987"/>
      <c r="I455" s="987"/>
      <c r="J455" s="987"/>
      <c r="K455" s="987"/>
      <c r="L455" s="988"/>
      <c r="M455" s="988"/>
      <c r="N455" s="988"/>
      <c r="O455" s="988"/>
      <c r="P455" s="987"/>
      <c r="Q455" s="987"/>
      <c r="R455" s="987"/>
      <c r="S455" s="987"/>
      <c r="T455" s="987"/>
      <c r="U455" s="987">
        <v>1</v>
      </c>
      <c r="V455" s="987"/>
      <c r="W455" s="987"/>
      <c r="X455" s="987"/>
      <c r="Y455" s="987"/>
      <c r="Z455" s="987"/>
      <c r="AA455" s="987">
        <f t="shared" si="26"/>
        <v>1</v>
      </c>
      <c r="AB455" s="987" t="s">
        <v>53</v>
      </c>
      <c r="AC455" s="987" t="s">
        <v>106</v>
      </c>
      <c r="AD455" s="1036" t="s">
        <v>32</v>
      </c>
      <c r="AE455" s="1338">
        <v>1</v>
      </c>
      <c r="AF455" s="1338">
        <v>1</v>
      </c>
      <c r="AG455" s="1338">
        <v>1.2</v>
      </c>
      <c r="AH455" s="989">
        <f t="shared" si="27"/>
        <v>333450</v>
      </c>
    </row>
    <row r="456" spans="1:34" s="638" customFormat="1" ht="51">
      <c r="A456" s="1046">
        <v>11</v>
      </c>
      <c r="B456" s="1304" t="s">
        <v>697</v>
      </c>
      <c r="C456" s="987"/>
      <c r="D456" s="986"/>
      <c r="E456" s="987"/>
      <c r="F456" s="987"/>
      <c r="G456" s="987"/>
      <c r="H456" s="987"/>
      <c r="I456" s="987"/>
      <c r="J456" s="987"/>
      <c r="K456" s="987"/>
      <c r="L456" s="988"/>
      <c r="M456" s="988"/>
      <c r="N456" s="988"/>
      <c r="O456" s="988"/>
      <c r="P456" s="987"/>
      <c r="Q456" s="987"/>
      <c r="R456" s="987"/>
      <c r="S456" s="987"/>
      <c r="T456" s="987"/>
      <c r="U456" s="987">
        <v>1</v>
      </c>
      <c r="V456" s="987"/>
      <c r="W456" s="987"/>
      <c r="X456" s="987"/>
      <c r="Y456" s="987"/>
      <c r="Z456" s="987"/>
      <c r="AA456" s="987">
        <f t="shared" si="26"/>
        <v>1</v>
      </c>
      <c r="AB456" s="987" t="s">
        <v>53</v>
      </c>
      <c r="AC456" s="987" t="s">
        <v>106</v>
      </c>
      <c r="AD456" s="1036" t="s">
        <v>32</v>
      </c>
      <c r="AE456" s="1338">
        <v>1</v>
      </c>
      <c r="AF456" s="1338">
        <v>1</v>
      </c>
      <c r="AG456" s="1338">
        <v>1.2</v>
      </c>
      <c r="AH456" s="989">
        <f t="shared" si="27"/>
        <v>333450</v>
      </c>
    </row>
    <row r="457" spans="1:34" s="638" customFormat="1" ht="25.5">
      <c r="A457" s="1036" t="s">
        <v>184</v>
      </c>
      <c r="B457" s="986" t="s">
        <v>219</v>
      </c>
      <c r="C457" s="987"/>
      <c r="D457" s="986"/>
      <c r="E457" s="987"/>
      <c r="F457" s="987"/>
      <c r="G457" s="987"/>
      <c r="H457" s="987"/>
      <c r="I457" s="987"/>
      <c r="J457" s="987"/>
      <c r="K457" s="987"/>
      <c r="L457" s="988"/>
      <c r="M457" s="988"/>
      <c r="N457" s="988"/>
      <c r="O457" s="988"/>
      <c r="P457" s="987"/>
      <c r="Q457" s="987"/>
      <c r="R457" s="987"/>
      <c r="S457" s="987"/>
      <c r="T457" s="987"/>
      <c r="U457" s="987">
        <v>1</v>
      </c>
      <c r="V457" s="987"/>
      <c r="W457" s="987"/>
      <c r="X457" s="987"/>
      <c r="Y457" s="987"/>
      <c r="Z457" s="987"/>
      <c r="AA457" s="987">
        <f t="shared" si="26"/>
        <v>1</v>
      </c>
      <c r="AB457" s="987" t="s">
        <v>1</v>
      </c>
      <c r="AC457" s="987" t="s">
        <v>106</v>
      </c>
      <c r="AD457" s="1036" t="s">
        <v>32</v>
      </c>
      <c r="AE457" s="990">
        <v>3.0000000000000001E-3</v>
      </c>
      <c r="AF457" s="1322">
        <v>3.0000000000000001E-3</v>
      </c>
      <c r="AG457" s="1322">
        <v>3.0000000000000001E-3</v>
      </c>
      <c r="AH457" s="989">
        <f t="shared" si="27"/>
        <v>333450</v>
      </c>
    </row>
    <row r="458" spans="1:34" s="638" customFormat="1" ht="25.5">
      <c r="A458" s="1036" t="s">
        <v>185</v>
      </c>
      <c r="B458" s="986" t="s">
        <v>616</v>
      </c>
      <c r="C458" s="987"/>
      <c r="D458" s="986"/>
      <c r="E458" s="987"/>
      <c r="F458" s="987"/>
      <c r="G458" s="987"/>
      <c r="H458" s="987"/>
      <c r="I458" s="987"/>
      <c r="J458" s="987"/>
      <c r="K458" s="987"/>
      <c r="L458" s="988"/>
      <c r="M458" s="988"/>
      <c r="N458" s="988"/>
      <c r="O458" s="988"/>
      <c r="P458" s="987"/>
      <c r="Q458" s="987"/>
      <c r="R458" s="987"/>
      <c r="S458" s="987"/>
      <c r="T458" s="987"/>
      <c r="U458" s="987"/>
      <c r="V458" s="987"/>
      <c r="W458" s="987"/>
      <c r="X458" s="987"/>
      <c r="Y458" s="987"/>
      <c r="Z458" s="987"/>
      <c r="AA458" s="987">
        <f t="shared" si="26"/>
        <v>0</v>
      </c>
      <c r="AB458" s="987"/>
      <c r="AC458" s="987"/>
      <c r="AD458" s="1036"/>
      <c r="AE458" s="987"/>
      <c r="AF458" s="989"/>
      <c r="AG458" s="986"/>
      <c r="AH458" s="989">
        <f t="shared" si="27"/>
        <v>0</v>
      </c>
    </row>
    <row r="459" spans="1:34" s="646" customFormat="1" ht="15">
      <c r="A459" s="1041" t="s">
        <v>227</v>
      </c>
      <c r="B459" s="1039" t="s">
        <v>168</v>
      </c>
      <c r="C459" s="1038"/>
      <c r="D459" s="1039"/>
      <c r="E459" s="1038"/>
      <c r="F459" s="1038"/>
      <c r="G459" s="1038"/>
      <c r="H459" s="1038"/>
      <c r="I459" s="1038"/>
      <c r="J459" s="1038"/>
      <c r="K459" s="1038"/>
      <c r="L459" s="1040"/>
      <c r="M459" s="1040"/>
      <c r="N459" s="1040"/>
      <c r="O459" s="1040"/>
      <c r="P459" s="1038"/>
      <c r="Q459" s="1038"/>
      <c r="R459" s="1038"/>
      <c r="S459" s="1038"/>
      <c r="T459" s="1038">
        <v>1</v>
      </c>
      <c r="U459" s="1038"/>
      <c r="V459" s="1038"/>
      <c r="W459" s="1038"/>
      <c r="X459" s="1038"/>
      <c r="Y459" s="1038"/>
      <c r="Z459" s="1038"/>
      <c r="AA459" s="1038">
        <f t="shared" si="26"/>
        <v>1</v>
      </c>
      <c r="AB459" s="1038" t="s">
        <v>53</v>
      </c>
      <c r="AC459" s="1038" t="s">
        <v>69</v>
      </c>
      <c r="AD459" s="1041" t="s">
        <v>32</v>
      </c>
      <c r="AE459" s="1042">
        <v>0.05</v>
      </c>
      <c r="AF459" s="1328">
        <v>0</v>
      </c>
      <c r="AG459" s="1328">
        <v>0.05</v>
      </c>
      <c r="AH459" s="1043">
        <f t="shared" si="27"/>
        <v>296770.5</v>
      </c>
    </row>
    <row r="460" spans="1:34" s="646" customFormat="1" ht="15">
      <c r="A460" s="1041" t="s">
        <v>228</v>
      </c>
      <c r="B460" s="1039" t="s">
        <v>169</v>
      </c>
      <c r="C460" s="1038"/>
      <c r="D460" s="1039"/>
      <c r="E460" s="1038"/>
      <c r="F460" s="1038"/>
      <c r="G460" s="1038"/>
      <c r="H460" s="1038"/>
      <c r="I460" s="1038"/>
      <c r="J460" s="1038"/>
      <c r="K460" s="1038"/>
      <c r="L460" s="1040"/>
      <c r="M460" s="1040"/>
      <c r="N460" s="1040"/>
      <c r="O460" s="1040"/>
      <c r="P460" s="1038"/>
      <c r="Q460" s="1038"/>
      <c r="R460" s="1038"/>
      <c r="S460" s="1038"/>
      <c r="T460" s="1038">
        <v>1</v>
      </c>
      <c r="U460" s="1038"/>
      <c r="V460" s="1038"/>
      <c r="W460" s="1038"/>
      <c r="X460" s="1038"/>
      <c r="Y460" s="1038"/>
      <c r="Z460" s="1038"/>
      <c r="AA460" s="1038">
        <f t="shared" si="26"/>
        <v>1</v>
      </c>
      <c r="AB460" s="1038" t="s">
        <v>53</v>
      </c>
      <c r="AC460" s="1038" t="s">
        <v>69</v>
      </c>
      <c r="AD460" s="1041" t="s">
        <v>32</v>
      </c>
      <c r="AE460" s="1042">
        <v>0.1</v>
      </c>
      <c r="AF460" s="1328">
        <v>0</v>
      </c>
      <c r="AG460" s="1328">
        <v>0.1</v>
      </c>
      <c r="AH460" s="1043">
        <f t="shared" si="27"/>
        <v>296770.5</v>
      </c>
    </row>
    <row r="461" spans="1:34" s="638" customFormat="1" ht="25.5">
      <c r="A461" s="1046">
        <v>14</v>
      </c>
      <c r="B461" s="1304" t="s">
        <v>593</v>
      </c>
      <c r="C461" s="987"/>
      <c r="D461" s="986"/>
      <c r="E461" s="987"/>
      <c r="F461" s="987"/>
      <c r="G461" s="987"/>
      <c r="H461" s="987"/>
      <c r="I461" s="987"/>
      <c r="J461" s="987"/>
      <c r="K461" s="987"/>
      <c r="L461" s="988"/>
      <c r="M461" s="988"/>
      <c r="N461" s="988"/>
      <c r="O461" s="988"/>
      <c r="P461" s="987"/>
      <c r="Q461" s="987"/>
      <c r="R461" s="987"/>
      <c r="S461" s="987"/>
      <c r="T461" s="987">
        <v>1</v>
      </c>
      <c r="U461" s="987"/>
      <c r="V461" s="987"/>
      <c r="W461" s="987"/>
      <c r="X461" s="987"/>
      <c r="Y461" s="987"/>
      <c r="Z461" s="987"/>
      <c r="AA461" s="987">
        <f t="shared" si="26"/>
        <v>1</v>
      </c>
      <c r="AB461" s="987" t="s">
        <v>53</v>
      </c>
      <c r="AC461" s="987" t="s">
        <v>69</v>
      </c>
      <c r="AD461" s="1036" t="s">
        <v>32</v>
      </c>
      <c r="AE461" s="990">
        <v>0.2</v>
      </c>
      <c r="AF461" s="990">
        <v>0.2</v>
      </c>
      <c r="AG461" s="990">
        <v>0.26</v>
      </c>
      <c r="AH461" s="989">
        <f t="shared" si="27"/>
        <v>296770.5</v>
      </c>
    </row>
    <row r="462" spans="1:34" s="646" customFormat="1" ht="18" customHeight="1">
      <c r="A462" s="1294">
        <v>14.1</v>
      </c>
      <c r="B462" s="1312" t="s">
        <v>594</v>
      </c>
      <c r="C462" s="1038"/>
      <c r="D462" s="1039"/>
      <c r="E462" s="1038"/>
      <c r="F462" s="1038"/>
      <c r="G462" s="1038"/>
      <c r="H462" s="1038"/>
      <c r="I462" s="1038"/>
      <c r="J462" s="1038"/>
      <c r="K462" s="1038"/>
      <c r="L462" s="1040"/>
      <c r="M462" s="1040"/>
      <c r="N462" s="1040"/>
      <c r="O462" s="1040"/>
      <c r="P462" s="1038"/>
      <c r="Q462" s="1038"/>
      <c r="R462" s="1038"/>
      <c r="S462" s="1038"/>
      <c r="T462" s="1038"/>
      <c r="U462" s="1038">
        <v>1</v>
      </c>
      <c r="V462" s="1038"/>
      <c r="W462" s="1038"/>
      <c r="X462" s="1038"/>
      <c r="Y462" s="1038"/>
      <c r="Z462" s="1038"/>
      <c r="AA462" s="1038">
        <f t="shared" si="26"/>
        <v>1</v>
      </c>
      <c r="AB462" s="1038" t="s">
        <v>53</v>
      </c>
      <c r="AC462" s="1294" t="s">
        <v>106</v>
      </c>
      <c r="AD462" s="1041" t="s">
        <v>32</v>
      </c>
      <c r="AE462" s="1325">
        <v>0.03</v>
      </c>
      <c r="AF462" s="1325">
        <v>0.03</v>
      </c>
      <c r="AG462" s="1325">
        <v>0.03</v>
      </c>
      <c r="AH462" s="1043">
        <f t="shared" si="27"/>
        <v>333450</v>
      </c>
    </row>
    <row r="463" spans="1:34" s="646" customFormat="1" ht="18" customHeight="1">
      <c r="A463" s="1294">
        <v>14.2</v>
      </c>
      <c r="B463" s="1312" t="s">
        <v>595</v>
      </c>
      <c r="C463" s="1038"/>
      <c r="D463" s="1039"/>
      <c r="E463" s="1038"/>
      <c r="F463" s="1038"/>
      <c r="G463" s="1038"/>
      <c r="H463" s="1038"/>
      <c r="I463" s="1038"/>
      <c r="J463" s="1038"/>
      <c r="K463" s="1038"/>
      <c r="L463" s="1040"/>
      <c r="M463" s="1040"/>
      <c r="N463" s="1040"/>
      <c r="O463" s="1040"/>
      <c r="P463" s="1038"/>
      <c r="Q463" s="1038"/>
      <c r="R463" s="1038"/>
      <c r="S463" s="1038"/>
      <c r="T463" s="1038"/>
      <c r="U463" s="1038">
        <v>1</v>
      </c>
      <c r="V463" s="1038"/>
      <c r="W463" s="1038"/>
      <c r="X463" s="1038"/>
      <c r="Y463" s="1038"/>
      <c r="Z463" s="1038"/>
      <c r="AA463" s="1038">
        <f t="shared" si="26"/>
        <v>1</v>
      </c>
      <c r="AB463" s="1038" t="s">
        <v>53</v>
      </c>
      <c r="AC463" s="1294" t="s">
        <v>106</v>
      </c>
      <c r="AD463" s="1041" t="s">
        <v>32</v>
      </c>
      <c r="AE463" s="1325">
        <v>0.04</v>
      </c>
      <c r="AF463" s="1325">
        <v>0.04</v>
      </c>
      <c r="AG463" s="1325">
        <v>0.04</v>
      </c>
      <c r="AH463" s="1043">
        <f t="shared" si="27"/>
        <v>333450</v>
      </c>
    </row>
    <row r="464" spans="1:34" s="638" customFormat="1" ht="25.5">
      <c r="A464" s="1046">
        <v>15</v>
      </c>
      <c r="B464" s="1304" t="s">
        <v>596</v>
      </c>
      <c r="C464" s="987"/>
      <c r="D464" s="986"/>
      <c r="E464" s="987"/>
      <c r="F464" s="987"/>
      <c r="G464" s="987"/>
      <c r="H464" s="987"/>
      <c r="I464" s="987"/>
      <c r="J464" s="987"/>
      <c r="K464" s="987"/>
      <c r="L464" s="988"/>
      <c r="M464" s="988"/>
      <c r="N464" s="988"/>
      <c r="O464" s="988"/>
      <c r="P464" s="987"/>
      <c r="Q464" s="987"/>
      <c r="R464" s="987"/>
      <c r="S464" s="987"/>
      <c r="T464" s="987"/>
      <c r="U464" s="987"/>
      <c r="V464" s="987"/>
      <c r="W464" s="987"/>
      <c r="X464" s="987"/>
      <c r="Y464" s="987"/>
      <c r="Z464" s="987"/>
      <c r="AA464" s="987"/>
      <c r="AB464" s="987"/>
      <c r="AC464" s="1334"/>
      <c r="AD464" s="1036"/>
      <c r="AE464" s="1334"/>
      <c r="AF464" s="1334"/>
      <c r="AG464" s="1334"/>
      <c r="AH464" s="989"/>
    </row>
    <row r="465" spans="1:39" s="646" customFormat="1" ht="17.25" customHeight="1">
      <c r="A465" s="1294">
        <v>15.1</v>
      </c>
      <c r="B465" s="1312" t="s">
        <v>594</v>
      </c>
      <c r="C465" s="1038"/>
      <c r="D465" s="1039"/>
      <c r="E465" s="1038"/>
      <c r="F465" s="1038"/>
      <c r="G465" s="1038"/>
      <c r="H465" s="1038"/>
      <c r="I465" s="1038"/>
      <c r="J465" s="1038"/>
      <c r="K465" s="1038"/>
      <c r="L465" s="1040"/>
      <c r="M465" s="1040"/>
      <c r="N465" s="1040"/>
      <c r="O465" s="1040"/>
      <c r="P465" s="1038"/>
      <c r="Q465" s="1038"/>
      <c r="R465" s="1038"/>
      <c r="S465" s="1038"/>
      <c r="T465" s="1038">
        <v>1</v>
      </c>
      <c r="U465" s="1038"/>
      <c r="V465" s="1038"/>
      <c r="W465" s="1038"/>
      <c r="X465" s="1038"/>
      <c r="Y465" s="1038"/>
      <c r="Z465" s="1038"/>
      <c r="AA465" s="1038">
        <f t="shared" si="26"/>
        <v>1</v>
      </c>
      <c r="AB465" s="1038" t="s">
        <v>53</v>
      </c>
      <c r="AC465" s="1294" t="s">
        <v>69</v>
      </c>
      <c r="AD465" s="1041" t="s">
        <v>32</v>
      </c>
      <c r="AE465" s="1325">
        <v>0.04</v>
      </c>
      <c r="AF465" s="1325">
        <v>0.04</v>
      </c>
      <c r="AG465" s="1325">
        <v>0.04</v>
      </c>
      <c r="AH465" s="1043">
        <f t="shared" si="27"/>
        <v>296770.5</v>
      </c>
    </row>
    <row r="466" spans="1:39" s="646" customFormat="1" ht="17.25" customHeight="1">
      <c r="A466" s="1294">
        <v>15.2</v>
      </c>
      <c r="B466" s="1312" t="s">
        <v>595</v>
      </c>
      <c r="C466" s="1038"/>
      <c r="D466" s="1039"/>
      <c r="E466" s="1038"/>
      <c r="F466" s="1038"/>
      <c r="G466" s="1038"/>
      <c r="H466" s="1038"/>
      <c r="I466" s="1038"/>
      <c r="J466" s="1038"/>
      <c r="K466" s="1038"/>
      <c r="L466" s="1040"/>
      <c r="M466" s="1040"/>
      <c r="N466" s="1040"/>
      <c r="O466" s="1040"/>
      <c r="P466" s="1038"/>
      <c r="Q466" s="1038"/>
      <c r="R466" s="1038"/>
      <c r="S466" s="1038"/>
      <c r="T466" s="1038">
        <v>1</v>
      </c>
      <c r="U466" s="1038"/>
      <c r="V466" s="1038"/>
      <c r="W466" s="1038"/>
      <c r="X466" s="1038"/>
      <c r="Y466" s="1038"/>
      <c r="Z466" s="1038"/>
      <c r="AA466" s="1038">
        <f t="shared" si="26"/>
        <v>1</v>
      </c>
      <c r="AB466" s="1038" t="s">
        <v>53</v>
      </c>
      <c r="AC466" s="1294" t="s">
        <v>69</v>
      </c>
      <c r="AD466" s="1041" t="s">
        <v>32</v>
      </c>
      <c r="AE466" s="1325">
        <v>0.03</v>
      </c>
      <c r="AF466" s="1339">
        <v>0.03</v>
      </c>
      <c r="AG466" s="1339">
        <v>0.03</v>
      </c>
      <c r="AH466" s="1043">
        <f t="shared" si="27"/>
        <v>296770.5</v>
      </c>
    </row>
    <row r="467" spans="1:39" s="638" customFormat="1" ht="25.5">
      <c r="A467" s="1044" t="s">
        <v>195</v>
      </c>
      <c r="B467" s="1045" t="s">
        <v>177</v>
      </c>
      <c r="C467" s="1046"/>
      <c r="D467" s="1045"/>
      <c r="E467" s="1046"/>
      <c r="F467" s="1046"/>
      <c r="G467" s="1046"/>
      <c r="H467" s="1046"/>
      <c r="I467" s="1046"/>
      <c r="J467" s="1046"/>
      <c r="K467" s="1046"/>
      <c r="L467" s="1047"/>
      <c r="M467" s="1047"/>
      <c r="N467" s="1047"/>
      <c r="O467" s="1047"/>
      <c r="P467" s="1046"/>
      <c r="Q467" s="1046"/>
      <c r="R467" s="1046"/>
      <c r="S467" s="1046"/>
      <c r="T467" s="1046"/>
      <c r="U467" s="1046">
        <v>1</v>
      </c>
      <c r="V467" s="1046"/>
      <c r="W467" s="1046"/>
      <c r="X467" s="1046"/>
      <c r="Y467" s="1046"/>
      <c r="Z467" s="1046"/>
      <c r="AA467" s="1046">
        <f t="shared" si="26"/>
        <v>1</v>
      </c>
      <c r="AB467" s="1046" t="s">
        <v>1</v>
      </c>
      <c r="AC467" s="1046" t="s">
        <v>106</v>
      </c>
      <c r="AD467" s="1044" t="s">
        <v>32</v>
      </c>
      <c r="AE467" s="1046">
        <v>3.3000000000000002E-2</v>
      </c>
      <c r="AF467" s="1108">
        <v>3.3000000000000002E-2</v>
      </c>
      <c r="AG467" s="1340">
        <v>3.3000000000000002E-2</v>
      </c>
      <c r="AH467" s="1050">
        <f t="shared" si="27"/>
        <v>333450</v>
      </c>
    </row>
    <row r="468" spans="1:39" s="638" customFormat="1" ht="15">
      <c r="A468" s="1044" t="s">
        <v>210</v>
      </c>
      <c r="B468" s="1045" t="s">
        <v>179</v>
      </c>
      <c r="C468" s="1046"/>
      <c r="D468" s="1045"/>
      <c r="E468" s="1046"/>
      <c r="F468" s="1046"/>
      <c r="G468" s="1046"/>
      <c r="H468" s="1046"/>
      <c r="I468" s="1046"/>
      <c r="J468" s="1046"/>
      <c r="K468" s="1046"/>
      <c r="L468" s="1047"/>
      <c r="M468" s="1047"/>
      <c r="N468" s="1047"/>
      <c r="O468" s="1047"/>
      <c r="P468" s="1046"/>
      <c r="Q468" s="1046"/>
      <c r="R468" s="1046"/>
      <c r="S468" s="1046"/>
      <c r="T468" s="1046">
        <v>1</v>
      </c>
      <c r="U468" s="1046"/>
      <c r="V468" s="1046"/>
      <c r="W468" s="1046"/>
      <c r="X468" s="1046"/>
      <c r="Y468" s="1046"/>
      <c r="Z468" s="1046"/>
      <c r="AA468" s="1046">
        <f t="shared" si="26"/>
        <v>1</v>
      </c>
      <c r="AB468" s="1046"/>
      <c r="AC468" s="1046"/>
      <c r="AD468" s="1044"/>
      <c r="AE468" s="1046"/>
      <c r="AF468" s="1108"/>
      <c r="AG468" s="1340"/>
      <c r="AH468" s="1050">
        <f t="shared" si="27"/>
        <v>296770.5</v>
      </c>
    </row>
    <row r="469" spans="1:39" s="646" customFormat="1" ht="15">
      <c r="A469" s="1297" t="s">
        <v>211</v>
      </c>
      <c r="B469" s="1295" t="s">
        <v>181</v>
      </c>
      <c r="C469" s="1046"/>
      <c r="D469" s="1045"/>
      <c r="E469" s="1046"/>
      <c r="F469" s="1046"/>
      <c r="G469" s="1046"/>
      <c r="H469" s="1046"/>
      <c r="I469" s="1046"/>
      <c r="J469" s="1046"/>
      <c r="K469" s="1046"/>
      <c r="L469" s="1047"/>
      <c r="M469" s="1047"/>
      <c r="N469" s="1047"/>
      <c r="O469" s="1047"/>
      <c r="P469" s="1046"/>
      <c r="Q469" s="1046"/>
      <c r="R469" s="1046"/>
      <c r="S469" s="1046"/>
      <c r="T469" s="1046">
        <v>1</v>
      </c>
      <c r="U469" s="1046"/>
      <c r="V469" s="1046"/>
      <c r="W469" s="1046"/>
      <c r="X469" s="1046"/>
      <c r="Y469" s="1046"/>
      <c r="Z469" s="1046"/>
      <c r="AA469" s="1046">
        <f t="shared" si="26"/>
        <v>1</v>
      </c>
      <c r="AB469" s="1046" t="s">
        <v>145</v>
      </c>
      <c r="AC469" s="1046" t="s">
        <v>69</v>
      </c>
      <c r="AD469" s="1044" t="s">
        <v>32</v>
      </c>
      <c r="AE469" s="1048">
        <v>0.1</v>
      </c>
      <c r="AF469" s="1329">
        <v>0.1</v>
      </c>
      <c r="AG469" s="1329">
        <v>0.1</v>
      </c>
      <c r="AH469" s="1050">
        <f t="shared" si="27"/>
        <v>296770.5</v>
      </c>
      <c r="AJ469" s="638"/>
      <c r="AK469" s="638"/>
      <c r="AL469" s="638"/>
      <c r="AM469" s="638"/>
    </row>
    <row r="470" spans="1:39" s="646" customFormat="1" ht="15">
      <c r="A470" s="1297" t="s">
        <v>212</v>
      </c>
      <c r="B470" s="1295" t="s">
        <v>182</v>
      </c>
      <c r="C470" s="1046"/>
      <c r="D470" s="1045"/>
      <c r="E470" s="1046"/>
      <c r="F470" s="1046"/>
      <c r="G470" s="1046"/>
      <c r="H470" s="1046"/>
      <c r="I470" s="1046"/>
      <c r="J470" s="1046"/>
      <c r="K470" s="1046"/>
      <c r="L470" s="1047"/>
      <c r="M470" s="1047"/>
      <c r="N470" s="1047"/>
      <c r="O470" s="1047"/>
      <c r="P470" s="1046"/>
      <c r="Q470" s="1046"/>
      <c r="R470" s="1046"/>
      <c r="S470" s="1046"/>
      <c r="T470" s="1046">
        <v>1</v>
      </c>
      <c r="U470" s="1046"/>
      <c r="V470" s="1046"/>
      <c r="W470" s="1046"/>
      <c r="X470" s="1046"/>
      <c r="Y470" s="1046"/>
      <c r="Z470" s="1046"/>
      <c r="AA470" s="1046">
        <f t="shared" si="26"/>
        <v>1</v>
      </c>
      <c r="AB470" s="1046" t="s">
        <v>145</v>
      </c>
      <c r="AC470" s="1046" t="s">
        <v>69</v>
      </c>
      <c r="AD470" s="1044" t="s">
        <v>32</v>
      </c>
      <c r="AE470" s="1048">
        <v>0.15</v>
      </c>
      <c r="AF470" s="1329">
        <v>0.2</v>
      </c>
      <c r="AG470" s="1329">
        <v>0.2</v>
      </c>
      <c r="AH470" s="1050">
        <f t="shared" si="27"/>
        <v>296770.5</v>
      </c>
      <c r="AJ470" s="638"/>
      <c r="AK470" s="638"/>
      <c r="AL470" s="638"/>
      <c r="AM470" s="638"/>
    </row>
    <row r="471" spans="1:39" s="646" customFormat="1" ht="25.5">
      <c r="A471" s="1044" t="s">
        <v>296</v>
      </c>
      <c r="B471" s="1045" t="s">
        <v>617</v>
      </c>
      <c r="C471" s="1046"/>
      <c r="D471" s="1045"/>
      <c r="E471" s="1046"/>
      <c r="F471" s="1046"/>
      <c r="G471" s="1046"/>
      <c r="H471" s="1046"/>
      <c r="I471" s="1046"/>
      <c r="J471" s="1046"/>
      <c r="K471" s="1046"/>
      <c r="L471" s="1047"/>
      <c r="M471" s="1047"/>
      <c r="N471" s="1047"/>
      <c r="O471" s="1047"/>
      <c r="P471" s="1046"/>
      <c r="Q471" s="1046"/>
      <c r="R471" s="1046"/>
      <c r="S471" s="1046"/>
      <c r="T471" s="1046">
        <v>1</v>
      </c>
      <c r="U471" s="1046"/>
      <c r="V471" s="1046"/>
      <c r="W471" s="1046"/>
      <c r="X471" s="1046"/>
      <c r="Y471" s="1046"/>
      <c r="Z471" s="1046"/>
      <c r="AA471" s="1046">
        <f t="shared" si="26"/>
        <v>1</v>
      </c>
      <c r="AB471" s="1046" t="s">
        <v>145</v>
      </c>
      <c r="AC471" s="1046" t="s">
        <v>69</v>
      </c>
      <c r="AD471" s="1044" t="s">
        <v>32</v>
      </c>
      <c r="AE471" s="1048">
        <v>0.1</v>
      </c>
      <c r="AF471" s="1329">
        <v>0.1</v>
      </c>
      <c r="AG471" s="1329">
        <v>0.1</v>
      </c>
      <c r="AH471" s="1050">
        <f t="shared" si="27"/>
        <v>296770.5</v>
      </c>
      <c r="AJ471" s="638"/>
      <c r="AK471" s="638"/>
      <c r="AL471" s="638"/>
      <c r="AM471" s="638"/>
    </row>
    <row r="472" spans="1:39" s="638" customFormat="1" ht="46.5" customHeight="1">
      <c r="A472" s="1044" t="s">
        <v>298</v>
      </c>
      <c r="B472" s="1045" t="s">
        <v>605</v>
      </c>
      <c r="C472" s="1046"/>
      <c r="D472" s="1045"/>
      <c r="E472" s="1046"/>
      <c r="F472" s="1046"/>
      <c r="G472" s="1046"/>
      <c r="H472" s="1046"/>
      <c r="I472" s="1046"/>
      <c r="J472" s="1046"/>
      <c r="K472" s="1046"/>
      <c r="L472" s="1047"/>
      <c r="M472" s="1047"/>
      <c r="N472" s="1047"/>
      <c r="O472" s="1047"/>
      <c r="P472" s="1046"/>
      <c r="Q472" s="1046"/>
      <c r="R472" s="1046"/>
      <c r="S472" s="1046"/>
      <c r="T472" s="1046">
        <v>1</v>
      </c>
      <c r="U472" s="1046"/>
      <c r="V472" s="1046"/>
      <c r="W472" s="1046"/>
      <c r="X472" s="1046"/>
      <c r="Y472" s="1046"/>
      <c r="Z472" s="1046"/>
      <c r="AA472" s="1046">
        <f t="shared" si="26"/>
        <v>1</v>
      </c>
      <c r="AB472" s="1046" t="s">
        <v>145</v>
      </c>
      <c r="AC472" s="1046" t="s">
        <v>69</v>
      </c>
      <c r="AD472" s="1044" t="s">
        <v>32</v>
      </c>
      <c r="AE472" s="1048">
        <v>0.1</v>
      </c>
      <c r="AF472" s="1329">
        <v>0.1</v>
      </c>
      <c r="AG472" s="1329">
        <v>0.1</v>
      </c>
      <c r="AH472" s="1050">
        <f t="shared" si="27"/>
        <v>296770.5</v>
      </c>
    </row>
    <row r="473" spans="1:39" s="638" customFormat="1" ht="25.5">
      <c r="A473" s="1044" t="s">
        <v>300</v>
      </c>
      <c r="B473" s="1045" t="s">
        <v>703</v>
      </c>
      <c r="C473" s="1046"/>
      <c r="D473" s="1045"/>
      <c r="E473" s="1046"/>
      <c r="F473" s="1046"/>
      <c r="G473" s="1046"/>
      <c r="H473" s="1046"/>
      <c r="I473" s="1046"/>
      <c r="J473" s="1046"/>
      <c r="K473" s="1046"/>
      <c r="L473" s="1047"/>
      <c r="M473" s="1047"/>
      <c r="N473" s="1047"/>
      <c r="O473" s="1047"/>
      <c r="P473" s="1046"/>
      <c r="Q473" s="1046"/>
      <c r="R473" s="1046"/>
      <c r="S473" s="1046"/>
      <c r="T473" s="1046"/>
      <c r="U473" s="1046">
        <v>1</v>
      </c>
      <c r="V473" s="1046"/>
      <c r="W473" s="1046"/>
      <c r="X473" s="1046"/>
      <c r="Y473" s="1046"/>
      <c r="Z473" s="1046"/>
      <c r="AA473" s="1046">
        <f t="shared" si="26"/>
        <v>1</v>
      </c>
      <c r="AB473" s="1046" t="s">
        <v>53</v>
      </c>
      <c r="AC473" s="1046" t="s">
        <v>106</v>
      </c>
      <c r="AD473" s="1044" t="s">
        <v>32</v>
      </c>
      <c r="AE473" s="1048">
        <v>0.37</v>
      </c>
      <c r="AF473" s="1329">
        <v>0.37</v>
      </c>
      <c r="AG473" s="1329">
        <v>0.44400000000000001</v>
      </c>
      <c r="AH473" s="1050">
        <f t="shared" si="27"/>
        <v>333450</v>
      </c>
    </row>
    <row r="474" spans="1:39" s="638" customFormat="1" ht="15">
      <c r="A474" s="1044" t="s">
        <v>302</v>
      </c>
      <c r="B474" s="1045" t="s">
        <v>186</v>
      </c>
      <c r="C474" s="1046"/>
      <c r="D474" s="1045"/>
      <c r="E474" s="1046"/>
      <c r="F474" s="1046"/>
      <c r="G474" s="1046"/>
      <c r="H474" s="1046"/>
      <c r="I474" s="1046"/>
      <c r="J474" s="1046"/>
      <c r="K474" s="1046"/>
      <c r="L474" s="1047"/>
      <c r="M474" s="1047"/>
      <c r="N474" s="1047"/>
      <c r="O474" s="1047"/>
      <c r="P474" s="1046"/>
      <c r="Q474" s="1046"/>
      <c r="R474" s="1046"/>
      <c r="S474" s="1046"/>
      <c r="T474" s="1046"/>
      <c r="U474" s="1046">
        <v>1</v>
      </c>
      <c r="V474" s="1046"/>
      <c r="W474" s="1046"/>
      <c r="X474" s="1046"/>
      <c r="Y474" s="1046"/>
      <c r="Z474" s="1046"/>
      <c r="AA474" s="1046">
        <f t="shared" si="26"/>
        <v>1</v>
      </c>
      <c r="AB474" s="1046" t="s">
        <v>1</v>
      </c>
      <c r="AC474" s="1046" t="s">
        <v>106</v>
      </c>
      <c r="AD474" s="1044" t="s">
        <v>32</v>
      </c>
      <c r="AE474" s="1048">
        <v>3.3000000000000002E-2</v>
      </c>
      <c r="AF474" s="1329">
        <v>3.3000000000000002E-2</v>
      </c>
      <c r="AG474" s="1329">
        <v>3.3000000000000002E-2</v>
      </c>
      <c r="AH474" s="1050">
        <f t="shared" si="27"/>
        <v>333450</v>
      </c>
    </row>
    <row r="475" spans="1:39" s="638" customFormat="1" ht="25.5">
      <c r="A475" s="1036" t="s">
        <v>304</v>
      </c>
      <c r="B475" s="986" t="s">
        <v>189</v>
      </c>
      <c r="C475" s="987"/>
      <c r="D475" s="986"/>
      <c r="E475" s="987"/>
      <c r="F475" s="987"/>
      <c r="G475" s="987"/>
      <c r="H475" s="987"/>
      <c r="I475" s="987"/>
      <c r="J475" s="987"/>
      <c r="K475" s="987"/>
      <c r="L475" s="988"/>
      <c r="M475" s="988"/>
      <c r="N475" s="988"/>
      <c r="O475" s="988"/>
      <c r="P475" s="987"/>
      <c r="Q475" s="987"/>
      <c r="R475" s="987"/>
      <c r="S475" s="987"/>
      <c r="T475" s="987"/>
      <c r="U475" s="987"/>
      <c r="V475" s="987"/>
      <c r="W475" s="987"/>
      <c r="X475" s="987"/>
      <c r="Y475" s="987"/>
      <c r="Z475" s="987"/>
      <c r="AA475" s="987">
        <f t="shared" si="26"/>
        <v>0</v>
      </c>
      <c r="AB475" s="987"/>
      <c r="AC475" s="987"/>
      <c r="AD475" s="1036"/>
      <c r="AE475" s="987"/>
      <c r="AF475" s="989"/>
      <c r="AG475" s="986"/>
      <c r="AH475" s="989">
        <f t="shared" si="27"/>
        <v>0</v>
      </c>
    </row>
    <row r="476" spans="1:39" s="646" customFormat="1" ht="15">
      <c r="A476" s="1041" t="s">
        <v>632</v>
      </c>
      <c r="B476" s="1039" t="s">
        <v>190</v>
      </c>
      <c r="C476" s="1038"/>
      <c r="D476" s="1039"/>
      <c r="E476" s="1038"/>
      <c r="F476" s="1038"/>
      <c r="G476" s="1038"/>
      <c r="H476" s="1038"/>
      <c r="I476" s="1038"/>
      <c r="J476" s="1038"/>
      <c r="K476" s="1038"/>
      <c r="L476" s="1040"/>
      <c r="M476" s="1040"/>
      <c r="N476" s="1040"/>
      <c r="O476" s="1040"/>
      <c r="P476" s="1038"/>
      <c r="Q476" s="1038"/>
      <c r="R476" s="1038"/>
      <c r="S476" s="1038">
        <v>1</v>
      </c>
      <c r="T476" s="1038"/>
      <c r="U476" s="1038"/>
      <c r="V476" s="1038"/>
      <c r="W476" s="1038"/>
      <c r="X476" s="1038"/>
      <c r="Y476" s="1038"/>
      <c r="Z476" s="1038"/>
      <c r="AA476" s="1038">
        <f t="shared" si="26"/>
        <v>1</v>
      </c>
      <c r="AB476" s="1038" t="s">
        <v>551</v>
      </c>
      <c r="AC476" s="1038" t="s">
        <v>68</v>
      </c>
      <c r="AD476" s="1041" t="s">
        <v>32</v>
      </c>
      <c r="AE476" s="1042">
        <v>1.6E-2</v>
      </c>
      <c r="AF476" s="1328">
        <v>1.6E-2</v>
      </c>
      <c r="AG476" s="1328">
        <v>0.02</v>
      </c>
      <c r="AH476" s="1043">
        <f t="shared" si="27"/>
        <v>260091</v>
      </c>
    </row>
    <row r="477" spans="1:39" s="646" customFormat="1" ht="15">
      <c r="A477" s="1041" t="s">
        <v>633</v>
      </c>
      <c r="B477" s="1039" t="s">
        <v>191</v>
      </c>
      <c r="C477" s="1038"/>
      <c r="D477" s="1039"/>
      <c r="E477" s="1038"/>
      <c r="F477" s="1038"/>
      <c r="G477" s="1038"/>
      <c r="H477" s="1038"/>
      <c r="I477" s="1038"/>
      <c r="J477" s="1038"/>
      <c r="K477" s="1038"/>
      <c r="L477" s="1040"/>
      <c r="M477" s="1040"/>
      <c r="N477" s="1040"/>
      <c r="O477" s="1040"/>
      <c r="P477" s="1038"/>
      <c r="Q477" s="1038"/>
      <c r="R477" s="1038"/>
      <c r="S477" s="1038">
        <v>1</v>
      </c>
      <c r="T477" s="1038"/>
      <c r="U477" s="1038"/>
      <c r="V477" s="1038"/>
      <c r="W477" s="1038"/>
      <c r="X477" s="1038"/>
      <c r="Y477" s="1038"/>
      <c r="Z477" s="1038"/>
      <c r="AA477" s="1038">
        <f t="shared" si="26"/>
        <v>1</v>
      </c>
      <c r="AB477" s="1038" t="s">
        <v>551</v>
      </c>
      <c r="AC477" s="1038" t="s">
        <v>68</v>
      </c>
      <c r="AD477" s="1041" t="s">
        <v>32</v>
      </c>
      <c r="AE477" s="1042">
        <v>8.0000000000000002E-3</v>
      </c>
      <c r="AF477" s="1328">
        <v>8.0000000000000002E-3</v>
      </c>
      <c r="AG477" s="1328">
        <v>0.01</v>
      </c>
      <c r="AH477" s="1043">
        <f t="shared" si="27"/>
        <v>260091</v>
      </c>
    </row>
    <row r="478" spans="1:39" s="287" customFormat="1" ht="38.25">
      <c r="A478" s="1036" t="s">
        <v>306</v>
      </c>
      <c r="B478" s="986" t="s">
        <v>192</v>
      </c>
      <c r="C478" s="987"/>
      <c r="D478" s="986"/>
      <c r="E478" s="987"/>
      <c r="F478" s="987"/>
      <c r="G478" s="987"/>
      <c r="H478" s="987"/>
      <c r="I478" s="987"/>
      <c r="J478" s="987"/>
      <c r="K478" s="987"/>
      <c r="L478" s="988"/>
      <c r="M478" s="988"/>
      <c r="N478" s="988"/>
      <c r="O478" s="988"/>
      <c r="P478" s="987"/>
      <c r="Q478" s="987"/>
      <c r="R478" s="987"/>
      <c r="S478" s="987">
        <v>1</v>
      </c>
      <c r="T478" s="987"/>
      <c r="U478" s="987"/>
      <c r="V478" s="987"/>
      <c r="W478" s="987"/>
      <c r="X478" s="987"/>
      <c r="Y478" s="987"/>
      <c r="Z478" s="987"/>
      <c r="AA478" s="987">
        <f t="shared" si="26"/>
        <v>1</v>
      </c>
      <c r="AB478" s="987" t="s">
        <v>551</v>
      </c>
      <c r="AC478" s="987" t="s">
        <v>68</v>
      </c>
      <c r="AD478" s="1036" t="s">
        <v>32</v>
      </c>
      <c r="AE478" s="990">
        <v>4.0000000000000001E-3</v>
      </c>
      <c r="AF478" s="1322">
        <v>4.0000000000000001E-3</v>
      </c>
      <c r="AG478" s="1322">
        <v>5.0000000000000001E-3</v>
      </c>
      <c r="AH478" s="989">
        <f t="shared" si="27"/>
        <v>260091</v>
      </c>
    </row>
    <row r="479" spans="1:39" s="287" customFormat="1" ht="25.5">
      <c r="A479" s="1036" t="s">
        <v>308</v>
      </c>
      <c r="B479" s="986" t="s">
        <v>193</v>
      </c>
      <c r="C479" s="987"/>
      <c r="D479" s="986"/>
      <c r="E479" s="987"/>
      <c r="F479" s="987"/>
      <c r="G479" s="987"/>
      <c r="H479" s="987"/>
      <c r="I479" s="987"/>
      <c r="J479" s="987"/>
      <c r="K479" s="987"/>
      <c r="L479" s="988"/>
      <c r="M479" s="988"/>
      <c r="N479" s="988"/>
      <c r="O479" s="988"/>
      <c r="P479" s="987"/>
      <c r="Q479" s="987"/>
      <c r="R479" s="987"/>
      <c r="S479" s="987">
        <v>1</v>
      </c>
      <c r="T479" s="987"/>
      <c r="U479" s="987"/>
      <c r="V479" s="987"/>
      <c r="W479" s="987"/>
      <c r="X479" s="987"/>
      <c r="Y479" s="987"/>
      <c r="Z479" s="987"/>
      <c r="AA479" s="987">
        <f t="shared" si="26"/>
        <v>1</v>
      </c>
      <c r="AB479" s="987" t="s">
        <v>1</v>
      </c>
      <c r="AC479" s="987" t="s">
        <v>68</v>
      </c>
      <c r="AD479" s="1036" t="s">
        <v>32</v>
      </c>
      <c r="AE479" s="990">
        <v>0.01</v>
      </c>
      <c r="AF479" s="1322">
        <v>0.01</v>
      </c>
      <c r="AG479" s="1322">
        <v>0.01</v>
      </c>
      <c r="AH479" s="989">
        <f t="shared" si="27"/>
        <v>260091</v>
      </c>
    </row>
    <row r="480" spans="1:39" s="638" customFormat="1" ht="76.5">
      <c r="A480" s="1036" t="s">
        <v>310</v>
      </c>
      <c r="B480" s="986" t="s">
        <v>688</v>
      </c>
      <c r="C480" s="987"/>
      <c r="D480" s="986"/>
      <c r="E480" s="987"/>
      <c r="F480" s="987"/>
      <c r="G480" s="987"/>
      <c r="H480" s="987"/>
      <c r="I480" s="987"/>
      <c r="J480" s="987"/>
      <c r="K480" s="987"/>
      <c r="L480" s="988"/>
      <c r="M480" s="988"/>
      <c r="N480" s="988"/>
      <c r="O480" s="988"/>
      <c r="P480" s="987"/>
      <c r="Q480" s="987"/>
      <c r="R480" s="987"/>
      <c r="S480" s="987"/>
      <c r="T480" s="987">
        <v>1</v>
      </c>
      <c r="U480" s="987"/>
      <c r="V480" s="987"/>
      <c r="W480" s="987"/>
      <c r="X480" s="987"/>
      <c r="Y480" s="987"/>
      <c r="Z480" s="987"/>
      <c r="AA480" s="987">
        <f t="shared" si="26"/>
        <v>1</v>
      </c>
      <c r="AB480" s="987" t="s">
        <v>53</v>
      </c>
      <c r="AC480" s="987" t="s">
        <v>69</v>
      </c>
      <c r="AD480" s="1036" t="s">
        <v>32</v>
      </c>
      <c r="AE480" s="990">
        <v>0.05</v>
      </c>
      <c r="AF480" s="990">
        <v>0.05</v>
      </c>
      <c r="AG480" s="990">
        <v>6.5000000000000002E-2</v>
      </c>
      <c r="AH480" s="989">
        <f t="shared" si="27"/>
        <v>296770.5</v>
      </c>
    </row>
    <row r="481" spans="1:39" ht="22.15" customHeight="1">
      <c r="A481" s="938" t="s">
        <v>242</v>
      </c>
      <c r="B481" s="1390" t="s">
        <v>739</v>
      </c>
      <c r="C481" s="1390"/>
      <c r="D481" s="1390"/>
      <c r="E481" s="1390"/>
      <c r="F481" s="1390"/>
      <c r="G481" s="1390"/>
      <c r="H481" s="1390"/>
      <c r="I481" s="1390"/>
      <c r="J481" s="1390"/>
      <c r="K481" s="1390"/>
      <c r="L481" s="1390"/>
      <c r="M481" s="1390"/>
      <c r="N481" s="1390"/>
      <c r="O481" s="1390"/>
      <c r="P481" s="1390"/>
      <c r="Q481" s="1390"/>
      <c r="R481" s="1390"/>
      <c r="S481" s="1390"/>
      <c r="T481" s="1390"/>
      <c r="U481" s="1390"/>
      <c r="V481" s="1390"/>
      <c r="W481" s="1390"/>
      <c r="X481" s="1390"/>
      <c r="Y481" s="1390"/>
      <c r="Z481" s="1390"/>
      <c r="AA481" s="1390"/>
      <c r="AB481" s="1390"/>
      <c r="AC481" s="1390"/>
      <c r="AD481" s="1390"/>
      <c r="AE481" s="1390"/>
      <c r="AF481" s="165"/>
      <c r="AG481" s="827"/>
      <c r="AH481" s="165">
        <f t="shared" si="27"/>
        <v>0</v>
      </c>
    </row>
    <row r="482" spans="1:39" s="638" customFormat="1" ht="25.5">
      <c r="A482" s="1046">
        <v>1</v>
      </c>
      <c r="B482" s="986" t="s">
        <v>704</v>
      </c>
      <c r="C482" s="1046"/>
      <c r="D482" s="1045"/>
      <c r="E482" s="1046"/>
      <c r="F482" s="1046"/>
      <c r="G482" s="1046"/>
      <c r="H482" s="1046"/>
      <c r="I482" s="1046"/>
      <c r="J482" s="1046"/>
      <c r="K482" s="1046"/>
      <c r="L482" s="1047"/>
      <c r="M482" s="1047"/>
      <c r="N482" s="1047"/>
      <c r="O482" s="1047"/>
      <c r="P482" s="1046"/>
      <c r="Q482" s="1046"/>
      <c r="R482" s="1046"/>
      <c r="S482" s="1046"/>
      <c r="T482" s="1046">
        <v>1</v>
      </c>
      <c r="U482" s="1046"/>
      <c r="V482" s="1046"/>
      <c r="W482" s="1046"/>
      <c r="X482" s="1046"/>
      <c r="Y482" s="1046"/>
      <c r="Z482" s="1046"/>
      <c r="AA482" s="1046">
        <f>SUM(C482:Z482)</f>
        <v>1</v>
      </c>
      <c r="AB482" s="1046" t="s">
        <v>53</v>
      </c>
      <c r="AC482" s="1046" t="s">
        <v>69</v>
      </c>
      <c r="AD482" s="1036" t="s">
        <v>32</v>
      </c>
      <c r="AE482" s="1048">
        <v>0.1</v>
      </c>
      <c r="AF482" s="1048">
        <v>0.1</v>
      </c>
      <c r="AG482" s="1048">
        <v>0.13</v>
      </c>
      <c r="AH482" s="1050">
        <f t="shared" si="27"/>
        <v>296770.5</v>
      </c>
    </row>
    <row r="483" spans="1:39" s="638" customFormat="1" ht="38.25">
      <c r="A483" s="1046">
        <v>2</v>
      </c>
      <c r="B483" s="986" t="s">
        <v>606</v>
      </c>
      <c r="C483" s="1046"/>
      <c r="D483" s="1045"/>
      <c r="E483" s="1046"/>
      <c r="F483" s="1046"/>
      <c r="G483" s="1046"/>
      <c r="H483" s="1046"/>
      <c r="I483" s="1046"/>
      <c r="J483" s="1046">
        <v>1</v>
      </c>
      <c r="K483" s="1046"/>
      <c r="L483" s="1047"/>
      <c r="M483" s="1047"/>
      <c r="N483" s="1047"/>
      <c r="O483" s="1047"/>
      <c r="P483" s="1046"/>
      <c r="Q483" s="1046"/>
      <c r="R483" s="1046"/>
      <c r="S483" s="1046"/>
      <c r="T483" s="1046"/>
      <c r="U483" s="1046"/>
      <c r="V483" s="1046"/>
      <c r="W483" s="1046"/>
      <c r="X483" s="1046"/>
      <c r="Y483" s="1046"/>
      <c r="Z483" s="1046"/>
      <c r="AA483" s="1046">
        <f>SUM(C483:Z483)</f>
        <v>1</v>
      </c>
      <c r="AB483" s="1046" t="s">
        <v>53</v>
      </c>
      <c r="AC483" s="1046" t="s">
        <v>108</v>
      </c>
      <c r="AD483" s="1036" t="s">
        <v>32</v>
      </c>
      <c r="AE483" s="1048">
        <v>0.06</v>
      </c>
      <c r="AF483" s="1048">
        <v>0.06</v>
      </c>
      <c r="AG483" s="1048">
        <v>7.8E-2</v>
      </c>
      <c r="AH483" s="1050">
        <f t="shared" si="27"/>
        <v>273429.00000000006</v>
      </c>
    </row>
    <row r="484" spans="1:39" s="638" customFormat="1" ht="51">
      <c r="A484" s="1046">
        <v>3</v>
      </c>
      <c r="B484" s="986" t="s">
        <v>608</v>
      </c>
      <c r="C484" s="1046"/>
      <c r="D484" s="1045"/>
      <c r="E484" s="1046"/>
      <c r="F484" s="1046"/>
      <c r="G484" s="1046"/>
      <c r="H484" s="1046"/>
      <c r="I484" s="1046"/>
      <c r="J484" s="1046"/>
      <c r="K484" s="1046"/>
      <c r="L484" s="1047"/>
      <c r="M484" s="1047"/>
      <c r="N484" s="1047"/>
      <c r="O484" s="1047"/>
      <c r="P484" s="1046"/>
      <c r="Q484" s="1046"/>
      <c r="R484" s="1046"/>
      <c r="S484" s="1046"/>
      <c r="T484" s="1046">
        <v>1</v>
      </c>
      <c r="U484" s="1046"/>
      <c r="V484" s="1046"/>
      <c r="W484" s="1046"/>
      <c r="X484" s="1046"/>
      <c r="Y484" s="1046"/>
      <c r="Z484" s="1046"/>
      <c r="AA484" s="1046">
        <f>SUM(C484:Z484)</f>
        <v>1</v>
      </c>
      <c r="AB484" s="1046" t="s">
        <v>53</v>
      </c>
      <c r="AC484" s="1046" t="s">
        <v>69</v>
      </c>
      <c r="AD484" s="1036" t="s">
        <v>32</v>
      </c>
      <c r="AE484" s="1048">
        <v>0.1</v>
      </c>
      <c r="AF484" s="1048">
        <v>0.1</v>
      </c>
      <c r="AG484" s="1048">
        <v>0.15</v>
      </c>
      <c r="AH484" s="1050">
        <f t="shared" si="27"/>
        <v>296770.5</v>
      </c>
    </row>
    <row r="485" spans="1:39" ht="22.15" customHeight="1">
      <c r="A485" s="110" t="s">
        <v>274</v>
      </c>
      <c r="B485" s="883" t="s">
        <v>258</v>
      </c>
      <c r="C485" s="884"/>
      <c r="D485" s="884"/>
      <c r="E485" s="884"/>
      <c r="F485" s="884"/>
      <c r="G485" s="884"/>
      <c r="H485" s="884"/>
      <c r="I485" s="884"/>
      <c r="J485" s="884"/>
      <c r="K485" s="884"/>
      <c r="L485" s="884"/>
      <c r="M485" s="884"/>
      <c r="N485" s="884"/>
      <c r="O485" s="884"/>
      <c r="P485" s="884"/>
      <c r="Q485" s="884"/>
      <c r="R485" s="884"/>
      <c r="S485" s="884"/>
      <c r="T485" s="884"/>
      <c r="U485" s="884"/>
      <c r="V485" s="884"/>
      <c r="W485" s="884"/>
      <c r="X485" s="884"/>
      <c r="Y485" s="884"/>
      <c r="Z485" s="884"/>
      <c r="AA485" s="884"/>
      <c r="AB485" s="884"/>
      <c r="AC485" s="884"/>
      <c r="AD485" s="884"/>
      <c r="AE485" s="884"/>
      <c r="AF485" s="887"/>
      <c r="AG485" s="104"/>
      <c r="AH485" s="457"/>
    </row>
    <row r="486" spans="1:39" ht="35.450000000000003" customHeight="1">
      <c r="A486" s="82" t="s">
        <v>33</v>
      </c>
      <c r="B486" s="1386" t="s">
        <v>630</v>
      </c>
      <c r="C486" s="1387"/>
      <c r="D486" s="1387"/>
      <c r="E486" s="1387"/>
      <c r="F486" s="1387"/>
      <c r="G486" s="1387"/>
      <c r="H486" s="1387"/>
      <c r="I486" s="1387"/>
      <c r="J486" s="1387"/>
      <c r="K486" s="1387"/>
      <c r="L486" s="1387"/>
      <c r="M486" s="1387"/>
      <c r="N486" s="1387"/>
      <c r="O486" s="1387"/>
      <c r="P486" s="1387"/>
      <c r="Q486" s="1387"/>
      <c r="R486" s="1387"/>
      <c r="S486" s="1387"/>
      <c r="T486" s="1387"/>
      <c r="U486" s="1387"/>
      <c r="V486" s="1387"/>
      <c r="W486" s="1387"/>
      <c r="X486" s="1387"/>
      <c r="Y486" s="1387"/>
      <c r="Z486" s="1387"/>
      <c r="AA486" s="1387"/>
      <c r="AB486" s="1387"/>
      <c r="AC486" s="1387"/>
      <c r="AD486" s="1388"/>
      <c r="AE486" s="78"/>
      <c r="AF486" s="103"/>
      <c r="AG486" s="103"/>
      <c r="AH486" s="113"/>
    </row>
    <row r="487" spans="1:39" ht="28.5" customHeight="1">
      <c r="A487" s="82" t="s">
        <v>34</v>
      </c>
      <c r="B487" s="1386" t="s">
        <v>740</v>
      </c>
      <c r="C487" s="1387"/>
      <c r="D487" s="1387"/>
      <c r="E487" s="1387"/>
      <c r="F487" s="1387"/>
      <c r="G487" s="1387"/>
      <c r="H487" s="1387"/>
      <c r="I487" s="1387"/>
      <c r="J487" s="1387"/>
      <c r="K487" s="1387"/>
      <c r="L487" s="1387"/>
      <c r="M487" s="1387"/>
      <c r="N487" s="1387"/>
      <c r="O487" s="1387"/>
      <c r="P487" s="1387"/>
      <c r="Q487" s="1387"/>
      <c r="R487" s="1387"/>
      <c r="S487" s="1387"/>
      <c r="T487" s="1387"/>
      <c r="U487" s="1387"/>
      <c r="V487" s="1387"/>
      <c r="W487" s="1387"/>
      <c r="X487" s="1387"/>
      <c r="Y487" s="1387"/>
      <c r="Z487" s="1387"/>
      <c r="AA487" s="1387"/>
      <c r="AB487" s="1387"/>
      <c r="AC487" s="1387"/>
      <c r="AD487" s="1388"/>
      <c r="AE487" s="79"/>
      <c r="AF487" s="119"/>
      <c r="AG487" s="119"/>
      <c r="AH487" s="113"/>
    </row>
    <row r="488" spans="1:39">
      <c r="A488" s="99"/>
      <c r="B488" s="100"/>
      <c r="C488" s="102"/>
      <c r="D488" s="100"/>
      <c r="E488" s="102"/>
      <c r="F488" s="102"/>
      <c r="G488" s="102"/>
      <c r="H488" s="102"/>
      <c r="I488" s="102"/>
      <c r="J488" s="102"/>
      <c r="K488" s="102"/>
      <c r="L488" s="114"/>
      <c r="M488" s="114"/>
      <c r="N488" s="114"/>
      <c r="O488" s="114"/>
      <c r="P488" s="102"/>
      <c r="Q488" s="102"/>
      <c r="R488" s="102"/>
      <c r="S488" s="102"/>
      <c r="T488" s="102"/>
      <c r="U488" s="102"/>
      <c r="V488" s="102"/>
      <c r="W488" s="102"/>
      <c r="X488" s="102"/>
      <c r="Y488" s="102"/>
      <c r="Z488" s="102"/>
      <c r="AA488" s="102"/>
      <c r="AB488" s="102"/>
      <c r="AC488" s="102"/>
      <c r="AD488" s="101"/>
      <c r="AE488" s="102"/>
      <c r="AF488" s="117"/>
      <c r="AG488" s="100"/>
      <c r="AH488" s="115">
        <f>(C488*C$6+D488*D$6+E488*E$6+F488*F$6+G488*G$6+H488*H$6+I488*I$6+J488*J$6+K488*K$6+L488*L$6+M488*M$6+N488*N$6+O488*O$6+P488*P$6+Q488*Q$6+R488*R$6+S488*S$6+T488*T$6+U488*U$6+V488*V$6+W488*W$6+X488*X$6+Y488*Y$6+Z488*Z$6)</f>
        <v>0</v>
      </c>
    </row>
    <row r="489" spans="1:39" ht="18" customHeight="1">
      <c r="A489" s="109" t="s">
        <v>249</v>
      </c>
      <c r="B489" s="885" t="s">
        <v>250</v>
      </c>
      <c r="C489" s="886"/>
      <c r="D489" s="886"/>
      <c r="E489" s="886"/>
      <c r="F489" s="886"/>
      <c r="G489" s="886"/>
      <c r="H489" s="886"/>
      <c r="I489" s="886"/>
      <c r="J489" s="886"/>
      <c r="K489" s="886"/>
      <c r="L489" s="886"/>
      <c r="M489" s="886"/>
      <c r="N489" s="886"/>
      <c r="O489" s="886"/>
      <c r="P489" s="886"/>
      <c r="Q489" s="886"/>
      <c r="R489" s="886"/>
      <c r="S489" s="886"/>
      <c r="T489" s="886"/>
      <c r="U489" s="886"/>
      <c r="V489" s="886"/>
      <c r="W489" s="886"/>
      <c r="X489" s="886"/>
      <c r="Y489" s="886"/>
      <c r="Z489" s="886"/>
      <c r="AA489" s="886"/>
      <c r="AB489" s="886"/>
      <c r="AC489" s="886"/>
      <c r="AD489" s="886"/>
      <c r="AE489" s="888"/>
      <c r="AF489" s="121" t="s">
        <v>346</v>
      </c>
    </row>
    <row r="490" spans="1:39" s="287" customFormat="1">
      <c r="A490" s="1341" t="s">
        <v>33</v>
      </c>
      <c r="B490" s="1342" t="s">
        <v>251</v>
      </c>
      <c r="C490" s="1343"/>
      <c r="D490" s="1342"/>
      <c r="E490" s="1343"/>
      <c r="F490" s="1343"/>
      <c r="G490" s="1343"/>
      <c r="H490" s="1343"/>
      <c r="I490" s="1343"/>
      <c r="J490" s="1343"/>
      <c r="K490" s="1343"/>
      <c r="L490" s="1344"/>
      <c r="M490" s="1344"/>
      <c r="N490" s="1344"/>
      <c r="O490" s="1344"/>
      <c r="P490" s="1343"/>
      <c r="Q490" s="1343"/>
      <c r="R490" s="1343"/>
      <c r="S490" s="1343"/>
      <c r="T490" s="1343">
        <v>1</v>
      </c>
      <c r="U490" s="1343"/>
      <c r="V490" s="1343"/>
      <c r="W490" s="1343"/>
      <c r="X490" s="1343"/>
      <c r="Y490" s="1343"/>
      <c r="Z490" s="1343"/>
      <c r="AA490" s="1343">
        <f t="shared" ref="AA490:AA496" si="28">SUM(C490:Z490)</f>
        <v>1</v>
      </c>
      <c r="AB490" s="1343" t="s">
        <v>53</v>
      </c>
      <c r="AC490" s="1343" t="s">
        <v>69</v>
      </c>
      <c r="AD490" s="1345"/>
      <c r="AE490" s="1345" t="s">
        <v>774</v>
      </c>
      <c r="AF490" s="1346">
        <f t="shared" ref="AF490:AF496" si="29">(C490*C$6+D490*D$6+E490*E$6+F490*F$6+G490*G$6+H490*H$6+I490*I$6+J490*J$6+K490*K$6+L490*L$6+M490*M$6+N490*N$6+O490*O$6+P490*P$6+Q490*Q$6+R490*R$6+S490*S$6+T490*T$6+U490*U$6+V490*V$6+W490*W$6+X490*X$6+Y490*Y$6+Z490*Z$6)</f>
        <v>296770.5</v>
      </c>
    </row>
    <row r="491" spans="1:39" s="287" customFormat="1">
      <c r="A491" s="1341" t="s">
        <v>34</v>
      </c>
      <c r="B491" s="1342" t="s">
        <v>167</v>
      </c>
      <c r="C491" s="1343"/>
      <c r="D491" s="1342"/>
      <c r="E491" s="1343"/>
      <c r="F491" s="1343"/>
      <c r="G491" s="1343"/>
      <c r="H491" s="1343"/>
      <c r="I491" s="1343"/>
      <c r="J491" s="1343"/>
      <c r="K491" s="1343"/>
      <c r="L491" s="1344"/>
      <c r="M491" s="1344"/>
      <c r="N491" s="1344"/>
      <c r="O491" s="1344"/>
      <c r="P491" s="1343"/>
      <c r="Q491" s="1343"/>
      <c r="R491" s="1343"/>
      <c r="S491" s="1343"/>
      <c r="T491" s="1343"/>
      <c r="U491" s="1343"/>
      <c r="V491" s="1343"/>
      <c r="W491" s="1343"/>
      <c r="X491" s="1343"/>
      <c r="Y491" s="1343"/>
      <c r="Z491" s="1343"/>
      <c r="AA491" s="1343">
        <f t="shared" si="28"/>
        <v>0</v>
      </c>
      <c r="AB491" s="1343"/>
      <c r="AC491" s="1343"/>
      <c r="AD491" s="1345"/>
      <c r="AE491" s="1345"/>
      <c r="AF491" s="1346">
        <f t="shared" si="29"/>
        <v>0</v>
      </c>
    </row>
    <row r="492" spans="1:39" s="285" customFormat="1">
      <c r="A492" s="1347" t="s">
        <v>133</v>
      </c>
      <c r="B492" s="1348" t="s">
        <v>252</v>
      </c>
      <c r="C492" s="1349"/>
      <c r="D492" s="1348"/>
      <c r="E492" s="1349"/>
      <c r="F492" s="1349"/>
      <c r="G492" s="1349"/>
      <c r="H492" s="1349"/>
      <c r="I492" s="1349"/>
      <c r="J492" s="1349"/>
      <c r="K492" s="1349"/>
      <c r="L492" s="1350"/>
      <c r="M492" s="1350"/>
      <c r="N492" s="1350"/>
      <c r="O492" s="1350"/>
      <c r="P492" s="1349"/>
      <c r="Q492" s="1349"/>
      <c r="R492" s="1349"/>
      <c r="S492" s="1349"/>
      <c r="T492" s="1343">
        <v>1</v>
      </c>
      <c r="U492" s="1343"/>
      <c r="V492" s="1343"/>
      <c r="W492" s="1343"/>
      <c r="X492" s="1343"/>
      <c r="Y492" s="1343"/>
      <c r="Z492" s="1343"/>
      <c r="AA492" s="1343">
        <f t="shared" si="28"/>
        <v>1</v>
      </c>
      <c r="AB492" s="1343" t="s">
        <v>53</v>
      </c>
      <c r="AC492" s="1343" t="s">
        <v>69</v>
      </c>
      <c r="AD492" s="1345"/>
      <c r="AE492" s="1345" t="s">
        <v>775</v>
      </c>
      <c r="AF492" s="1346">
        <f t="shared" si="29"/>
        <v>296770.5</v>
      </c>
      <c r="AJ492" s="287"/>
      <c r="AK492" s="287"/>
      <c r="AL492" s="287"/>
      <c r="AM492" s="287"/>
    </row>
    <row r="493" spans="1:39" s="285" customFormat="1">
      <c r="A493" s="1347" t="s">
        <v>136</v>
      </c>
      <c r="B493" s="1348" t="s">
        <v>253</v>
      </c>
      <c r="C493" s="1349"/>
      <c r="D493" s="1348"/>
      <c r="E493" s="1349"/>
      <c r="F493" s="1349"/>
      <c r="G493" s="1349"/>
      <c r="H493" s="1349"/>
      <c r="I493" s="1349"/>
      <c r="J493" s="1349"/>
      <c r="K493" s="1349"/>
      <c r="L493" s="1350"/>
      <c r="M493" s="1350"/>
      <c r="N493" s="1350"/>
      <c r="O493" s="1350"/>
      <c r="P493" s="1349"/>
      <c r="Q493" s="1349"/>
      <c r="R493" s="1349"/>
      <c r="S493" s="1349"/>
      <c r="T493" s="1343">
        <v>1</v>
      </c>
      <c r="U493" s="1343"/>
      <c r="V493" s="1343"/>
      <c r="W493" s="1343"/>
      <c r="X493" s="1343"/>
      <c r="Y493" s="1343"/>
      <c r="Z493" s="1343"/>
      <c r="AA493" s="1343">
        <f t="shared" si="28"/>
        <v>1</v>
      </c>
      <c r="AB493" s="1343" t="s">
        <v>53</v>
      </c>
      <c r="AC493" s="1343" t="s">
        <v>69</v>
      </c>
      <c r="AD493" s="1345"/>
      <c r="AE493" s="1345" t="s">
        <v>774</v>
      </c>
      <c r="AF493" s="1346">
        <f t="shared" si="29"/>
        <v>296770.5</v>
      </c>
      <c r="AJ493" s="287"/>
      <c r="AK493" s="287"/>
      <c r="AL493" s="287"/>
      <c r="AM493" s="287"/>
    </row>
    <row r="494" spans="1:39" s="287" customFormat="1">
      <c r="A494" s="1341" t="s">
        <v>35</v>
      </c>
      <c r="B494" s="1342" t="s">
        <v>254</v>
      </c>
      <c r="C494" s="1343"/>
      <c r="D494" s="1342"/>
      <c r="E494" s="1343"/>
      <c r="F494" s="1343"/>
      <c r="G494" s="1343"/>
      <c r="H494" s="1343"/>
      <c r="I494" s="1343"/>
      <c r="J494" s="1343"/>
      <c r="K494" s="1343"/>
      <c r="L494" s="1344"/>
      <c r="M494" s="1344"/>
      <c r="N494" s="1344"/>
      <c r="O494" s="1344"/>
      <c r="P494" s="1343"/>
      <c r="Q494" s="1343"/>
      <c r="R494" s="1343"/>
      <c r="S494" s="1343"/>
      <c r="T494" s="1343"/>
      <c r="U494" s="1343"/>
      <c r="V494" s="1343"/>
      <c r="W494" s="1343"/>
      <c r="X494" s="1343"/>
      <c r="Y494" s="1343"/>
      <c r="Z494" s="1343"/>
      <c r="AA494" s="1343">
        <f t="shared" si="28"/>
        <v>0</v>
      </c>
      <c r="AB494" s="1343"/>
      <c r="AC494" s="1343"/>
      <c r="AD494" s="1345"/>
      <c r="AE494" s="1345"/>
      <c r="AF494" s="1346">
        <f t="shared" si="29"/>
        <v>0</v>
      </c>
    </row>
    <row r="495" spans="1:39" s="285" customFormat="1">
      <c r="A495" s="1347" t="s">
        <v>255</v>
      </c>
      <c r="B495" s="1348" t="s">
        <v>256</v>
      </c>
      <c r="C495" s="1349"/>
      <c r="D495" s="1348"/>
      <c r="E495" s="1349"/>
      <c r="F495" s="1349"/>
      <c r="G495" s="1349"/>
      <c r="H495" s="1349"/>
      <c r="I495" s="1349"/>
      <c r="J495" s="1349"/>
      <c r="K495" s="1349"/>
      <c r="L495" s="1350"/>
      <c r="M495" s="1350"/>
      <c r="N495" s="1350"/>
      <c r="O495" s="1350"/>
      <c r="P495" s="1349"/>
      <c r="Q495" s="1349"/>
      <c r="R495" s="1349"/>
      <c r="S495" s="1349"/>
      <c r="T495" s="1343">
        <v>1</v>
      </c>
      <c r="U495" s="1343"/>
      <c r="V495" s="1343"/>
      <c r="W495" s="1343"/>
      <c r="X495" s="1343"/>
      <c r="Y495" s="1343"/>
      <c r="Z495" s="1343"/>
      <c r="AA495" s="1343">
        <f t="shared" si="28"/>
        <v>1</v>
      </c>
      <c r="AB495" s="1343" t="s">
        <v>53</v>
      </c>
      <c r="AC495" s="1343" t="s">
        <v>69</v>
      </c>
      <c r="AD495" s="1345"/>
      <c r="AE495" s="1345" t="s">
        <v>775</v>
      </c>
      <c r="AF495" s="1346">
        <f t="shared" si="29"/>
        <v>296770.5</v>
      </c>
      <c r="AJ495" s="287"/>
      <c r="AK495" s="287"/>
      <c r="AL495" s="287"/>
      <c r="AM495" s="287"/>
    </row>
    <row r="496" spans="1:39" s="285" customFormat="1">
      <c r="A496" s="1347" t="s">
        <v>257</v>
      </c>
      <c r="B496" s="1348" t="s">
        <v>253</v>
      </c>
      <c r="C496" s="1349"/>
      <c r="D496" s="1348"/>
      <c r="E496" s="1349"/>
      <c r="F496" s="1349"/>
      <c r="G496" s="1349"/>
      <c r="H496" s="1349"/>
      <c r="I496" s="1349"/>
      <c r="J496" s="1349"/>
      <c r="K496" s="1349"/>
      <c r="L496" s="1350"/>
      <c r="M496" s="1350"/>
      <c r="N496" s="1350"/>
      <c r="O496" s="1350"/>
      <c r="P496" s="1349"/>
      <c r="Q496" s="1349"/>
      <c r="R496" s="1349"/>
      <c r="S496" s="1349"/>
      <c r="T496" s="1343">
        <v>1</v>
      </c>
      <c r="U496" s="1343"/>
      <c r="V496" s="1343"/>
      <c r="W496" s="1343"/>
      <c r="X496" s="1343"/>
      <c r="Y496" s="1343"/>
      <c r="Z496" s="1343"/>
      <c r="AA496" s="1343">
        <f t="shared" si="28"/>
        <v>1</v>
      </c>
      <c r="AB496" s="1343" t="s">
        <v>53</v>
      </c>
      <c r="AC496" s="1343" t="s">
        <v>69</v>
      </c>
      <c r="AD496" s="1345"/>
      <c r="AE496" s="1345" t="s">
        <v>774</v>
      </c>
      <c r="AF496" s="1346">
        <f t="shared" si="29"/>
        <v>296770.5</v>
      </c>
      <c r="AJ496" s="287"/>
      <c r="AK496" s="287"/>
      <c r="AL496" s="287"/>
      <c r="AM496" s="287"/>
    </row>
    <row r="497" spans="1:32" ht="15" customHeight="1">
      <c r="A497" s="472"/>
      <c r="B497" s="476" t="s">
        <v>332</v>
      </c>
      <c r="C497" s="477"/>
      <c r="D497" s="477"/>
      <c r="E497" s="477"/>
      <c r="F497" s="477"/>
      <c r="G497" s="477"/>
      <c r="H497" s="477"/>
      <c r="I497" s="477"/>
      <c r="J497" s="477"/>
      <c r="K497" s="477"/>
      <c r="L497" s="477"/>
      <c r="M497" s="477"/>
      <c r="N497" s="477"/>
      <c r="O497" s="477"/>
      <c r="P497" s="477"/>
      <c r="Q497" s="477"/>
      <c r="R497" s="477"/>
      <c r="S497" s="477"/>
      <c r="T497" s="477"/>
      <c r="U497" s="477"/>
      <c r="V497" s="477"/>
      <c r="W497" s="477"/>
      <c r="X497" s="477"/>
      <c r="Y497" s="477"/>
      <c r="Z497" s="477"/>
      <c r="AA497" s="477"/>
      <c r="AB497" s="477"/>
      <c r="AC497" s="477"/>
      <c r="AD497" s="478"/>
      <c r="AE497" s="474"/>
      <c r="AF497" s="475"/>
    </row>
    <row r="498" spans="1:32" ht="16.899999999999999" customHeight="1">
      <c r="A498" s="472"/>
      <c r="B498" s="1414" t="s">
        <v>333</v>
      </c>
      <c r="C498" s="1415"/>
      <c r="D498" s="1415"/>
      <c r="E498" s="1415"/>
      <c r="F498" s="1415"/>
      <c r="G498" s="1415"/>
      <c r="H498" s="1415"/>
      <c r="I498" s="1415"/>
      <c r="J498" s="1415"/>
      <c r="K498" s="1415"/>
      <c r="L498" s="1415"/>
      <c r="M498" s="1415"/>
      <c r="N498" s="1415"/>
      <c r="O498" s="1415"/>
      <c r="P498" s="1415"/>
      <c r="Q498" s="1415"/>
      <c r="R498" s="1415"/>
      <c r="S498" s="1415"/>
      <c r="T498" s="1415"/>
      <c r="U498" s="1415"/>
      <c r="V498" s="1415"/>
      <c r="W498" s="1415"/>
      <c r="X498" s="1415"/>
      <c r="Y498" s="1415"/>
      <c r="Z498" s="1415"/>
      <c r="AA498" s="1415"/>
      <c r="AB498" s="1415"/>
      <c r="AC498" s="1415"/>
      <c r="AD498" s="1416"/>
      <c r="AE498" s="473"/>
      <c r="AF498" s="475"/>
    </row>
    <row r="499" spans="1:32" ht="16.899999999999999" customHeight="1">
      <c r="A499" s="472"/>
      <c r="B499" s="1417" t="s">
        <v>741</v>
      </c>
      <c r="C499" s="1415"/>
      <c r="D499" s="1415"/>
      <c r="E499" s="1415"/>
      <c r="F499" s="1415"/>
      <c r="G499" s="1415"/>
      <c r="H499" s="1415"/>
      <c r="I499" s="1415"/>
      <c r="J499" s="1415"/>
      <c r="K499" s="1415"/>
      <c r="L499" s="1415"/>
      <c r="M499" s="1415"/>
      <c r="N499" s="1415"/>
      <c r="O499" s="1415"/>
      <c r="P499" s="1415"/>
      <c r="Q499" s="1415"/>
      <c r="R499" s="1415"/>
      <c r="S499" s="1415"/>
      <c r="T499" s="1415"/>
      <c r="U499" s="1415"/>
      <c r="V499" s="1415"/>
      <c r="W499" s="1415"/>
      <c r="X499" s="1415"/>
      <c r="Y499" s="1415"/>
      <c r="Z499" s="1415"/>
      <c r="AA499" s="1415"/>
      <c r="AB499" s="1415"/>
      <c r="AC499" s="1415"/>
      <c r="AD499" s="1416"/>
      <c r="AE499" s="473">
        <v>0.8</v>
      </c>
      <c r="AF499" s="475"/>
    </row>
    <row r="500" spans="1:32" ht="16.899999999999999" customHeight="1">
      <c r="A500" s="472"/>
      <c r="B500" s="1417" t="s">
        <v>742</v>
      </c>
      <c r="C500" s="1415"/>
      <c r="D500" s="1415"/>
      <c r="E500" s="1415"/>
      <c r="F500" s="1415"/>
      <c r="G500" s="1415"/>
      <c r="H500" s="1415"/>
      <c r="I500" s="1415"/>
      <c r="J500" s="1415"/>
      <c r="K500" s="1415"/>
      <c r="L500" s="1415"/>
      <c r="M500" s="1415"/>
      <c r="N500" s="1415"/>
      <c r="O500" s="1415"/>
      <c r="P500" s="1415"/>
      <c r="Q500" s="1415"/>
      <c r="R500" s="1415"/>
      <c r="S500" s="1415"/>
      <c r="T500" s="1415"/>
      <c r="U500" s="1415"/>
      <c r="V500" s="1415"/>
      <c r="W500" s="1415"/>
      <c r="X500" s="1415"/>
      <c r="Y500" s="1415"/>
      <c r="Z500" s="1415"/>
      <c r="AA500" s="1415"/>
      <c r="AB500" s="1415"/>
      <c r="AC500" s="1415"/>
      <c r="AD500" s="1416"/>
      <c r="AE500" s="473">
        <v>0.65</v>
      </c>
      <c r="AF500" s="475"/>
    </row>
    <row r="501" spans="1:32" ht="16.899999999999999" customHeight="1" thickBot="1">
      <c r="A501" s="479"/>
      <c r="B501" s="1411" t="s">
        <v>743</v>
      </c>
      <c r="C501" s="1412"/>
      <c r="D501" s="1412"/>
      <c r="E501" s="1412"/>
      <c r="F501" s="1412"/>
      <c r="G501" s="1412"/>
      <c r="H501" s="1412"/>
      <c r="I501" s="1412"/>
      <c r="J501" s="1412"/>
      <c r="K501" s="1412"/>
      <c r="L501" s="1412"/>
      <c r="M501" s="1412"/>
      <c r="N501" s="1412"/>
      <c r="O501" s="1412"/>
      <c r="P501" s="1412"/>
      <c r="Q501" s="1412"/>
      <c r="R501" s="1412"/>
      <c r="S501" s="1412"/>
      <c r="T501" s="1412"/>
      <c r="U501" s="1412"/>
      <c r="V501" s="1412"/>
      <c r="W501" s="1412"/>
      <c r="X501" s="1412"/>
      <c r="Y501" s="1412"/>
      <c r="Z501" s="1412"/>
      <c r="AA501" s="1412"/>
      <c r="AB501" s="1412"/>
      <c r="AC501" s="1412"/>
      <c r="AD501" s="1413"/>
      <c r="AE501" s="480">
        <v>0.5</v>
      </c>
      <c r="AF501" s="481"/>
    </row>
  </sheetData>
  <mergeCells count="92">
    <mergeCell ref="B273:AD273"/>
    <mergeCell ref="B324:AD324"/>
    <mergeCell ref="A113:A118"/>
    <mergeCell ref="B113:B118"/>
    <mergeCell ref="B206:AD206"/>
    <mergeCell ref="B207:AD207"/>
    <mergeCell ref="B159:AD159"/>
    <mergeCell ref="AD176:AD177"/>
    <mergeCell ref="B181:AD181"/>
    <mergeCell ref="B160:AD160"/>
    <mergeCell ref="B156:AD156"/>
    <mergeCell ref="B157:AD157"/>
    <mergeCell ref="AC172:AC177"/>
    <mergeCell ref="AB172:AB177"/>
    <mergeCell ref="AD172:AD173"/>
    <mergeCell ref="AD174:AD175"/>
    <mergeCell ref="B501:AD501"/>
    <mergeCell ref="B498:AD498"/>
    <mergeCell ref="B499:AD499"/>
    <mergeCell ref="B162:V162"/>
    <mergeCell ref="A172:A176"/>
    <mergeCell ref="B172:B176"/>
    <mergeCell ref="B500:AD500"/>
    <mergeCell ref="B384:AD384"/>
    <mergeCell ref="B486:AD486"/>
    <mergeCell ref="B438:AD438"/>
    <mergeCell ref="B439:AD439"/>
    <mergeCell ref="B481:AE481"/>
    <mergeCell ref="B487:AD487"/>
    <mergeCell ref="B331:AD331"/>
    <mergeCell ref="B332:AD332"/>
    <mergeCell ref="B380:AD380"/>
    <mergeCell ref="B381:AD381"/>
    <mergeCell ref="B382:AD382"/>
    <mergeCell ref="B377:AE377"/>
    <mergeCell ref="B385:AD385"/>
    <mergeCell ref="B161:AD161"/>
    <mergeCell ref="B334:AD334"/>
    <mergeCell ref="B335:AD335"/>
    <mergeCell ref="B327:AD327"/>
    <mergeCell ref="B328:AD328"/>
    <mergeCell ref="B329:AD329"/>
    <mergeCell ref="B330:AD330"/>
    <mergeCell ref="B276:AD276"/>
    <mergeCell ref="B277:AD277"/>
    <mergeCell ref="B209:AE209"/>
    <mergeCell ref="AB215:AB216"/>
    <mergeCell ref="AB212:AB213"/>
    <mergeCell ref="B433:AE433"/>
    <mergeCell ref="B436:AD436"/>
    <mergeCell ref="B437:AD437"/>
    <mergeCell ref="AD40:AD41"/>
    <mergeCell ref="B93:AE93"/>
    <mergeCell ref="B158:AD158"/>
    <mergeCell ref="B269:AD269"/>
    <mergeCell ref="B270:AD270"/>
    <mergeCell ref="B271:AD271"/>
    <mergeCell ref="B205:AD205"/>
    <mergeCell ref="B210:AE210"/>
    <mergeCell ref="B258:AE258"/>
    <mergeCell ref="B267:AD267"/>
    <mergeCell ref="B268:AD268"/>
    <mergeCell ref="B272:AD272"/>
    <mergeCell ref="B274:AD274"/>
    <mergeCell ref="A1:AF1"/>
    <mergeCell ref="A2:AF2"/>
    <mergeCell ref="B10:AE10"/>
    <mergeCell ref="B11:AE11"/>
    <mergeCell ref="B77:AE77"/>
    <mergeCell ref="AB30:AB35"/>
    <mergeCell ref="AD30:AD31"/>
    <mergeCell ref="AB36:AB41"/>
    <mergeCell ref="AD36:AD37"/>
    <mergeCell ref="AD38:AD39"/>
    <mergeCell ref="AD32:AD33"/>
    <mergeCell ref="AD34:AD35"/>
    <mergeCell ref="B30:B35"/>
    <mergeCell ref="A30:A35"/>
    <mergeCell ref="B36:B41"/>
    <mergeCell ref="A36:A41"/>
    <mergeCell ref="AB113:AB118"/>
    <mergeCell ref="B153:AE153"/>
    <mergeCell ref="B107:B112"/>
    <mergeCell ref="A107:A112"/>
    <mergeCell ref="B90:AD90"/>
    <mergeCell ref="B91:AD91"/>
    <mergeCell ref="B86:AD86"/>
    <mergeCell ref="B87:AD87"/>
    <mergeCell ref="B88:AD88"/>
    <mergeCell ref="B89:AD89"/>
    <mergeCell ref="AB107:AB112"/>
    <mergeCell ref="B94:AD94"/>
  </mergeCells>
  <phoneticPr fontId="65" type="noConversion"/>
  <printOptions horizontalCentered="1"/>
  <pageMargins left="0.75" right="0.5" top="0.5" bottom="0.5" header="0.5" footer="0.5"/>
  <pageSetup paperSize="9" scale="95" orientation="landscape" horizontalDpi="300" verticalDpi="300" r:id="rId1"/>
  <headerFooter alignWithMargins="0"/>
  <ignoredErrors>
    <ignoredError sqref="AE268:AE269 AE491 AD30:AD35 AE87:AE88 A12:A22 A107 A92 AD36:AD41 A30 A42:A57 A61:A71 A72:B73 A74:A76 A95:A104 A124:A129 A131 A145:A148 A156:A159 A182 A163:IV165 A168:A171 A176:I176 A172 A174:I174 A173:B173 D173:Z173 A178:B178 A183 A185:A187 A188:A194 A195:A201 A211:A217 A232:A237 A238:A240 A290:IV291 A300:A303 A36 A113 A78:A84 A86:A88 AD176:AH176 AD174:AH174 AD172:AH172 K172:T172 V172:AB172 V174:AA174 V176:AA176 K174:T174 K176:T176 AE494 C172:I172 A418:A428 A429:A432"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00B050"/>
  </sheetPr>
  <dimension ref="A1:AB542"/>
  <sheetViews>
    <sheetView showZeros="0" zoomScale="110" zoomScaleNormal="110" workbookViewId="0">
      <selection sqref="A1:XFD1048576"/>
    </sheetView>
  </sheetViews>
  <sheetFormatPr defaultColWidth="9" defaultRowHeight="12.75"/>
  <cols>
    <col min="1" max="1" width="6.21875" style="24" bestFit="1" customWidth="1"/>
    <col min="2" max="2" width="38.33203125" style="26" customWidth="1"/>
    <col min="3" max="3" width="8" style="25" customWidth="1"/>
    <col min="4" max="4" width="6.33203125" style="25" customWidth="1"/>
    <col min="5" max="5" width="10.88671875" style="25" bestFit="1" customWidth="1"/>
    <col min="6" max="6" width="6.21875" style="25" customWidth="1"/>
    <col min="7" max="7" width="6.77734375" style="24" customWidth="1"/>
    <col min="8" max="8" width="7.21875" style="28" bestFit="1" customWidth="1"/>
    <col min="9" max="9" width="10.21875" style="28" customWidth="1"/>
    <col min="10" max="10" width="9.44140625" style="28" bestFit="1" customWidth="1"/>
    <col min="11" max="11" width="10.33203125" style="28" customWidth="1"/>
    <col min="12" max="12" width="8.77734375" style="24" customWidth="1"/>
    <col min="13" max="15" width="8.77734375" style="26" customWidth="1"/>
    <col min="16" max="16" width="8.33203125" style="26" customWidth="1"/>
    <col min="17" max="17" width="8.33203125" style="26" hidden="1" customWidth="1"/>
    <col min="18" max="18" width="8.44140625" style="26" hidden="1" customWidth="1"/>
    <col min="19" max="19" width="8.33203125" style="26" hidden="1" customWidth="1"/>
    <col min="20" max="20" width="4.88671875" style="26" customWidth="1"/>
    <col min="21" max="21" width="5.77734375" style="26" customWidth="1"/>
    <col min="22" max="22" width="9.109375" style="26" customWidth="1"/>
    <col min="23" max="24" width="7.33203125" style="26" bestFit="1" customWidth="1"/>
    <col min="25" max="26" width="5.33203125" style="26" bestFit="1" customWidth="1"/>
    <col min="27" max="27" width="8.77734375" style="26" customWidth="1"/>
    <col min="28" max="29" width="7.33203125" style="26" bestFit="1" customWidth="1"/>
    <col min="30" max="30" width="5.33203125" style="26" bestFit="1" customWidth="1"/>
    <col min="31" max="31" width="6.6640625" style="26" bestFit="1" customWidth="1"/>
    <col min="32" max="32" width="9.109375" style="26" bestFit="1" customWidth="1"/>
    <col min="33" max="33" width="7.33203125" style="26" bestFit="1" customWidth="1"/>
    <col min="34" max="34" width="8.21875" style="26" bestFit="1" customWidth="1"/>
    <col min="35" max="35" width="5.6640625" style="26" customWidth="1"/>
    <col min="36" max="36" width="7.44140625" style="26" customWidth="1"/>
    <col min="37" max="37" width="9.6640625" style="26" customWidth="1"/>
    <col min="38" max="38" width="5.33203125" style="26" bestFit="1" customWidth="1"/>
    <col min="39" max="39" width="7" style="26" customWidth="1"/>
    <col min="40" max="16384" width="9" style="26"/>
  </cols>
  <sheetData>
    <row r="1" spans="1:14" s="27" customFormat="1" ht="18.75">
      <c r="A1" s="1368" t="s">
        <v>759</v>
      </c>
      <c r="B1" s="1368"/>
      <c r="C1" s="1368"/>
      <c r="D1" s="1368"/>
      <c r="E1" s="1368"/>
      <c r="F1" s="1368"/>
      <c r="G1" s="1368"/>
      <c r="H1" s="1368"/>
      <c r="I1" s="1368"/>
      <c r="J1" s="1368"/>
      <c r="K1" s="1368"/>
      <c r="L1" s="120"/>
    </row>
    <row r="2" spans="1:14" s="31" customFormat="1" ht="23.25" customHeight="1">
      <c r="A2" s="31" t="s">
        <v>338</v>
      </c>
      <c r="B2" s="1058" t="s">
        <v>581</v>
      </c>
      <c r="C2" s="1059"/>
      <c r="D2" s="1059"/>
      <c r="E2" s="1059"/>
      <c r="F2" s="1059"/>
      <c r="H2" s="882"/>
      <c r="I2" s="882"/>
      <c r="J2" s="882"/>
      <c r="K2" s="882"/>
    </row>
    <row r="3" spans="1:14" s="31" customFormat="1" ht="18.75" customHeight="1">
      <c r="A3" s="1426" t="s">
        <v>24</v>
      </c>
      <c r="B3" s="1101" t="s">
        <v>46</v>
      </c>
      <c r="C3" s="1427" t="s">
        <v>39</v>
      </c>
      <c r="D3" s="1430" t="s">
        <v>544</v>
      </c>
      <c r="E3" s="1427" t="s">
        <v>17</v>
      </c>
      <c r="F3" s="1102" t="s">
        <v>98</v>
      </c>
      <c r="G3" s="1094" t="s">
        <v>41</v>
      </c>
      <c r="H3" s="1428" t="s">
        <v>351</v>
      </c>
      <c r="I3" s="1428" t="s">
        <v>493</v>
      </c>
      <c r="J3" s="1061" t="s">
        <v>637</v>
      </c>
      <c r="K3" s="1061" t="s">
        <v>352</v>
      </c>
    </row>
    <row r="4" spans="1:14" s="31" customFormat="1" ht="18.75" customHeight="1">
      <c r="A4" s="1426"/>
      <c r="B4" s="1101"/>
      <c r="C4" s="1427"/>
      <c r="D4" s="1427"/>
      <c r="E4" s="1427"/>
      <c r="F4" s="1102" t="s">
        <v>25</v>
      </c>
      <c r="G4" s="1105" t="s">
        <v>40</v>
      </c>
      <c r="H4" s="1429"/>
      <c r="I4" s="1429"/>
      <c r="J4" s="1062" t="s">
        <v>495</v>
      </c>
      <c r="K4" s="1062" t="s">
        <v>495</v>
      </c>
    </row>
    <row r="5" spans="1:14" s="86" customFormat="1" ht="36.75" customHeight="1">
      <c r="A5" s="992" t="str">
        <f>L_CViec!A10</f>
        <v>I</v>
      </c>
      <c r="B5" s="1425" t="str">
        <f>L_CViec!B10</f>
        <v>ĐĂNG KÝ, CẤP GIẤY CHỨNG NHẬN LẦN ĐẦU ĐỒNG LOẠT ĐỐI VỚI HỘ GIA ĐÌNH, CÁ NHÂN, CỘNG ĐỒNG DÂN CƯ, TỔ CHỨC SỬ DỤNG ĐẤT, NGƯỜI GỐC VIỆT NAM ĐỊNH CƯ Ở NƯỚC NGOÀI TẠI ĐỊA BÀN CẤP XÃ, PHƯỜNG</v>
      </c>
      <c r="C5" s="1425"/>
      <c r="D5" s="1425"/>
      <c r="E5" s="1425"/>
      <c r="F5" s="1425"/>
      <c r="G5" s="1425"/>
      <c r="H5" s="1425"/>
      <c r="I5" s="1425"/>
      <c r="J5" s="1063"/>
      <c r="K5" s="1063"/>
    </row>
    <row r="6" spans="1:14" s="86" customFormat="1" ht="13.15" customHeight="1">
      <c r="A6" s="1431" t="str">
        <f>L_CViec!A11</f>
        <v>I.1</v>
      </c>
      <c r="B6" s="1425" t="str">
        <f>L_CViec!B11</f>
        <v>CÁC NỘI DUNG THỰC HIỆN TẠI ĐỊA BÀN XÃ, PHƯỜNG</v>
      </c>
      <c r="C6" s="1425"/>
      <c r="D6" s="1431"/>
      <c r="E6" s="520" t="s">
        <v>353</v>
      </c>
      <c r="F6" s="1431">
        <v>1</v>
      </c>
      <c r="G6" s="994"/>
      <c r="H6" s="1093">
        <f>L_CViec!AF11</f>
        <v>0</v>
      </c>
      <c r="I6" s="1093">
        <f>SUM(I12,I22,I23,I29,I31,I43,I44,I47,I48,I51,I53,I54,I55,I57,I61,I62,I63,I65,I67,I68,I75,I76,I77)</f>
        <v>719969.23439999996</v>
      </c>
      <c r="J6" s="1064">
        <f>SUM(J12,J22,J23,J29,J31,J43,J44,J46,J48,J50,J52,J53,J54,J55,J58,J60,J62,J63,J65,J67,J68,J73,J74,J75,J76,J77)</f>
        <v>855969.76237499993</v>
      </c>
      <c r="K6" s="1064">
        <f>SUM(K12,K23,K24,K25,K26,K32,K35,K36,K40,K41,K42,K43,K44)</f>
        <v>176040.5528846154</v>
      </c>
    </row>
    <row r="7" spans="1:14" s="86" customFormat="1" ht="15" customHeight="1">
      <c r="A7" s="1431"/>
      <c r="B7" s="1425"/>
      <c r="C7" s="1425"/>
      <c r="D7" s="1431"/>
      <c r="E7" s="520" t="s">
        <v>202</v>
      </c>
      <c r="F7" s="1431"/>
      <c r="G7" s="993"/>
      <c r="H7" s="1093"/>
      <c r="I7" s="1093">
        <f>I15+I18+I32</f>
        <v>45890.096153846156</v>
      </c>
      <c r="J7" s="1064">
        <f>J15+J18+J32</f>
        <v>6534.9253124999996</v>
      </c>
      <c r="K7" s="1064">
        <f>SUM(K$14,K27)</f>
        <v>0</v>
      </c>
    </row>
    <row r="8" spans="1:14" s="86" customFormat="1" ht="15" customHeight="1">
      <c r="A8" s="1431"/>
      <c r="B8" s="1425"/>
      <c r="C8" s="1425"/>
      <c r="D8" s="1431"/>
      <c r="E8" s="520" t="s">
        <v>353</v>
      </c>
      <c r="F8" s="1431">
        <v>2</v>
      </c>
      <c r="G8" s="993"/>
      <c r="H8" s="1093"/>
      <c r="I8" s="1093">
        <f>SUM(I12,I22,I23,I29,I33,I43,I44,I47,I48,I51,I53,I54,I55,I57,I61,I62,I63,I65,I67,I68,I75,I76,I77)</f>
        <v>771287.18939999992</v>
      </c>
      <c r="J8" s="1064">
        <f>SUM(J12,J22,J23,J29,J33,J43,J44,J46,J48,J50,J52,J53,J54,J55,J58,J60,J62,J63,J65,J67,J68,J73,J74,J75,J76,J77)</f>
        <v>855969.76237499993</v>
      </c>
      <c r="K8" s="1064">
        <f>SUM(K12,K23,K24,K25,K28,K32,K35,K36,K37,K40,K41,K42,K43,K44)</f>
        <v>237585.16826923078</v>
      </c>
    </row>
    <row r="9" spans="1:14" s="86" customFormat="1" ht="15" customHeight="1">
      <c r="A9" s="1431"/>
      <c r="B9" s="1425"/>
      <c r="C9" s="1425"/>
      <c r="D9" s="1431"/>
      <c r="E9" s="520" t="s">
        <v>202</v>
      </c>
      <c r="F9" s="1431"/>
      <c r="G9" s="993"/>
      <c r="H9" s="1093"/>
      <c r="I9" s="1093">
        <f>I15+I18+I34</f>
        <v>54986.25</v>
      </c>
      <c r="J9" s="1064">
        <f>J15+J18+J34</f>
        <v>7813.150312499999</v>
      </c>
      <c r="K9" s="1064">
        <f>SUM(K$14,K29)</f>
        <v>0</v>
      </c>
    </row>
    <row r="10" spans="1:14" s="86" customFormat="1" ht="15" customHeight="1">
      <c r="A10" s="1431"/>
      <c r="B10" s="1425"/>
      <c r="C10" s="1425"/>
      <c r="D10" s="1431"/>
      <c r="E10" s="520" t="s">
        <v>353</v>
      </c>
      <c r="F10" s="1431">
        <v>3</v>
      </c>
      <c r="G10" s="993"/>
      <c r="H10" s="1093"/>
      <c r="I10" s="1093">
        <f>SUM(I12,I22,I23,I29,I35,I43,I44,I47,I48,I51,I53,I54,I55,I57,I61,I62,I63,I65,I67,I68,I75,I76,I77)</f>
        <v>832868.73540000001</v>
      </c>
      <c r="J10" s="1064">
        <f>SUM(J12,J22,J23,J29,J35,J43,J44,J46,J48,J50,J52,J53,J54,J55,J58,J60,J62,J63,J65,J67,J68,J73,J74,J75,J76,J77)</f>
        <v>889101.354375</v>
      </c>
      <c r="K10" s="1064">
        <f>SUM(K12,K23,K24,K25,K30,K32,K35,K36,K37,K40,K41,K42,K43,K44)</f>
        <v>239831.32211538465</v>
      </c>
    </row>
    <row r="11" spans="1:14" s="86" customFormat="1" ht="15" customHeight="1">
      <c r="A11" s="1431"/>
      <c r="B11" s="1425"/>
      <c r="C11" s="1425"/>
      <c r="D11" s="1431"/>
      <c r="E11" s="520" t="s">
        <v>202</v>
      </c>
      <c r="F11" s="1431"/>
      <c r="G11" s="993"/>
      <c r="H11" s="1093"/>
      <c r="I11" s="1093">
        <f>I15+I18+I36</f>
        <v>65901.634615384624</v>
      </c>
      <c r="J11" s="1064">
        <f>J15+J18+J36</f>
        <v>9347.0203124999989</v>
      </c>
      <c r="K11" s="1064">
        <f>SUM(K$14,K31)</f>
        <v>0</v>
      </c>
    </row>
    <row r="12" spans="1:14" s="85" customFormat="1" ht="20.25" customHeight="1">
      <c r="A12" s="520" t="str">
        <f>L_CViec!A12</f>
        <v>1</v>
      </c>
      <c r="B12" s="993" t="str">
        <f>L_CViec!B12</f>
        <v>Công việc chuẩn bị</v>
      </c>
      <c r="C12" s="523">
        <f>L_CViec!AB12</f>
        <v>0</v>
      </c>
      <c r="D12" s="1106">
        <f>L_CViec!AA12</f>
        <v>0</v>
      </c>
      <c r="E12" s="523" t="s">
        <v>353</v>
      </c>
      <c r="F12" s="523">
        <f>L_CViec!AD12</f>
        <v>0</v>
      </c>
      <c r="G12" s="523">
        <f>L_CViec!AE12</f>
        <v>0</v>
      </c>
      <c r="H12" s="1107">
        <f>L_CViec!AF12</f>
        <v>0</v>
      </c>
      <c r="I12" s="294">
        <f>SUM(I14,I16,I17,I20)</f>
        <v>46225.506599999993</v>
      </c>
      <c r="J12" s="1065">
        <f>SUM(J15,J17,J18,J21)</f>
        <v>2780.1393750000002</v>
      </c>
      <c r="K12" s="1065">
        <f>SUM(K15,K17,K18,K21)</f>
        <v>2974.399038461539</v>
      </c>
      <c r="M12" s="118"/>
    </row>
    <row r="13" spans="1:14" s="85" customFormat="1" ht="20.25" customHeight="1">
      <c r="A13" s="523"/>
      <c r="B13" s="522"/>
      <c r="C13" s="523"/>
      <c r="D13" s="1106"/>
      <c r="E13" s="523" t="s">
        <v>202</v>
      </c>
      <c r="F13" s="523"/>
      <c r="G13" s="523"/>
      <c r="H13" s="1107"/>
      <c r="I13" s="294"/>
      <c r="J13" s="1065"/>
      <c r="K13" s="1065"/>
      <c r="M13" s="118"/>
    </row>
    <row r="14" spans="1:14" s="85" customFormat="1" ht="30" customHeight="1">
      <c r="A14" s="523" t="str">
        <f>L_CViec!A13</f>
        <v>1.1</v>
      </c>
      <c r="B14" s="522" t="str">
        <f>L_CViec!B13</f>
        <v>Chuẩn bị địa điểm đăng ký</v>
      </c>
      <c r="C14" s="523" t="str">
        <f>L_CViec!AB13</f>
        <v>Điểm</v>
      </c>
      <c r="D14" s="1106">
        <f>L_CViec!AA13</f>
        <v>2</v>
      </c>
      <c r="E14" s="523" t="str">
        <f>L_CViec!AC13</f>
        <v>1KS2, 1KTV4</v>
      </c>
      <c r="F14" s="523"/>
      <c r="G14" s="955">
        <f>L_CViec!AE13</f>
        <v>2</v>
      </c>
      <c r="H14" s="1107">
        <f>L_CViec!AF13</f>
        <v>570199.5</v>
      </c>
      <c r="I14" s="294">
        <f>G14*H14*10/20000</f>
        <v>570.19949999999994</v>
      </c>
      <c r="J14" s="1065">
        <f>$D14*$G14*L_CBac!$J$68*10/8000</f>
        <v>127.82250000000001</v>
      </c>
      <c r="K14" s="1065"/>
      <c r="M14" s="118"/>
      <c r="N14" s="118"/>
    </row>
    <row r="15" spans="1:14" s="111" customFormat="1" ht="32.25" customHeight="1">
      <c r="A15" s="523">
        <f>L_CViec!A14</f>
        <v>0</v>
      </c>
      <c r="B15" s="522">
        <f>L_CViec!B14</f>
        <v>0</v>
      </c>
      <c r="C15" s="523">
        <f>L_CViec!AB14</f>
        <v>0</v>
      </c>
      <c r="D15" s="1106">
        <f>L_CViec!AA14</f>
        <v>1</v>
      </c>
      <c r="E15" s="523" t="str">
        <f>L_CViec!AC14</f>
        <v>LĐPT</v>
      </c>
      <c r="F15" s="523" t="str">
        <f>L_CViec!AD13</f>
        <v>1-3</v>
      </c>
      <c r="G15" s="955">
        <f>L_CViec!AE14</f>
        <v>2</v>
      </c>
      <c r="H15" s="1107">
        <f>L_CViec!AF14</f>
        <v>181923.07692307694</v>
      </c>
      <c r="I15" s="294">
        <f>G15*H15*10/20000</f>
        <v>181.92307692307693</v>
      </c>
      <c r="J15" s="1065">
        <f>$D15*$G15*L_CBac!$J$68*10/8000</f>
        <v>63.911250000000003</v>
      </c>
      <c r="K15" s="1065">
        <f>$D15*$G15*L_CBac!$J$69*10/8000</f>
        <v>70.192307692307693</v>
      </c>
      <c r="M15" s="483"/>
      <c r="N15" s="118"/>
    </row>
    <row r="16" spans="1:14" s="111" customFormat="1" ht="38.25">
      <c r="A16" s="523" t="str">
        <f>L_CViec!A15</f>
        <v>1.2</v>
      </c>
      <c r="B16" s="522" t="str">
        <f>L_CViec!B15</f>
        <v>Chuẩn bị các tài liệu, bản đồ, mẫu đơn đề nghị đăng ký, cấp GCN, danh sách các trường hợp sử dụng đất theo địa điểm (theo xã, phường)</v>
      </c>
      <c r="C16" s="523" t="str">
        <f>L_CViec!AB15</f>
        <v>Bộ tài liệu</v>
      </c>
      <c r="D16" s="1106">
        <f>L_CViec!AA15</f>
        <v>3</v>
      </c>
      <c r="E16" s="523" t="str">
        <f>L_CViec!AC15</f>
        <v>1KS3, 1KS2, 1KTV4</v>
      </c>
      <c r="F16" s="523">
        <f>L_CViec!AD14</f>
        <v>0</v>
      </c>
      <c r="G16" s="955">
        <f>L_CViec!AE15</f>
        <v>16</v>
      </c>
      <c r="H16" s="1107">
        <f>L_CViec!AF15</f>
        <v>903649.5</v>
      </c>
      <c r="I16" s="294">
        <f>G16*H16/20000</f>
        <v>722.91959999999995</v>
      </c>
      <c r="J16" s="1065">
        <f>$D16*$G16*L_CBac!$J$68*10/8000</f>
        <v>1533.87</v>
      </c>
      <c r="K16" s="1065"/>
      <c r="M16" s="483"/>
      <c r="N16" s="118"/>
    </row>
    <row r="17" spans="1:14" s="111" customFormat="1" ht="36.75" customHeight="1">
      <c r="A17" s="523" t="str">
        <f>L_CViec!A16</f>
        <v>1.3</v>
      </c>
      <c r="B17" s="522" t="str">
        <f>L_CViec!B16</f>
        <v>Tổ chức phổ biến, tuyên truyền chủ trương, chính sách về đăng ký, cấp GCN</v>
      </c>
      <c r="C17" s="523" t="str">
        <f>L_CViec!AB16</f>
        <v>Cuộc</v>
      </c>
      <c r="D17" s="1106">
        <f>L_CViec!AA16</f>
        <v>1</v>
      </c>
      <c r="E17" s="523" t="str">
        <f>L_CViec!AC16</f>
        <v>1KS3</v>
      </c>
      <c r="F17" s="523" t="str">
        <f>L_CViec!AD15</f>
        <v>1-3</v>
      </c>
      <c r="G17" s="955">
        <f>L_CViec!AE16</f>
        <v>2.5</v>
      </c>
      <c r="H17" s="1107">
        <f>L_CViec!AF16</f>
        <v>333450</v>
      </c>
      <c r="I17" s="294">
        <f>G17*H17*10/20000</f>
        <v>416.8125</v>
      </c>
      <c r="J17" s="1065">
        <f>$D17*$G17*L_CBac!$J$68*10/8000</f>
        <v>79.889062499999994</v>
      </c>
      <c r="K17" s="1065">
        <f>$D17*$G17*L_CBac!$J$69/8000</f>
        <v>8.7740384615384617</v>
      </c>
      <c r="M17" s="483"/>
      <c r="N17" s="118"/>
    </row>
    <row r="18" spans="1:14" s="111" customFormat="1" ht="33.75" customHeight="1">
      <c r="A18" s="523">
        <f>L_CViec!A17</f>
        <v>0</v>
      </c>
      <c r="B18" s="522">
        <f>L_CViec!B17</f>
        <v>0</v>
      </c>
      <c r="C18" s="523">
        <f>L_CViec!AB17</f>
        <v>0</v>
      </c>
      <c r="D18" s="1106">
        <f>L_CViec!AA17</f>
        <v>1</v>
      </c>
      <c r="E18" s="523" t="str">
        <f>L_CViec!AC17</f>
        <v>LĐPT</v>
      </c>
      <c r="F18" s="523" t="str">
        <f>L_CViec!AD16</f>
        <v>1-3</v>
      </c>
      <c r="G18" s="955">
        <f>L_CViec!AE17</f>
        <v>2.5</v>
      </c>
      <c r="H18" s="1107">
        <f>L_CViec!AF17</f>
        <v>181923.07692307694</v>
      </c>
      <c r="I18" s="294">
        <f>G18*H18*10/20000</f>
        <v>227.40384615384619</v>
      </c>
      <c r="J18" s="1065">
        <f>$D18*$G18*L_CBac!$J$68*10/8000</f>
        <v>79.889062499999994</v>
      </c>
      <c r="K18" s="1065">
        <f>$D18*$G18*L_CBac!$J$69*10/8000</f>
        <v>87.740384615384613</v>
      </c>
      <c r="M18" s="483"/>
      <c r="N18" s="118"/>
    </row>
    <row r="19" spans="1:14" s="111" customFormat="1" ht="21" customHeight="1">
      <c r="A19" s="523" t="str">
        <f>L_CViec!A18</f>
        <v>1.4</v>
      </c>
      <c r="B19" s="522" t="str">
        <f>L_CViec!B18</f>
        <v>Hướng dẫn lập hồ sơ đề nghị đăng ký, cấp GCN</v>
      </c>
      <c r="C19" s="523">
        <f>L_CViec!AB18</f>
        <v>0</v>
      </c>
      <c r="D19" s="1106">
        <f>L_CViec!AA18</f>
        <v>0</v>
      </c>
      <c r="E19" s="523">
        <f>L_CViec!AC18</f>
        <v>0</v>
      </c>
      <c r="F19" s="523" t="str">
        <f>L_CViec!AD17</f>
        <v>1-3</v>
      </c>
      <c r="G19" s="955">
        <f>L_CViec!AE18</f>
        <v>0</v>
      </c>
      <c r="H19" s="1107">
        <f>L_CViec!AF18</f>
        <v>0</v>
      </c>
      <c r="I19" s="294">
        <f>G19*H19*10/8000</f>
        <v>0</v>
      </c>
      <c r="J19" s="1065"/>
      <c r="K19" s="1065"/>
      <c r="M19" s="483"/>
      <c r="N19" s="118"/>
    </row>
    <row r="20" spans="1:14" s="111" customFormat="1" ht="19.5" customHeight="1">
      <c r="A20" s="523" t="str">
        <f>L_CViec!A19</f>
        <v>1.4.1</v>
      </c>
      <c r="B20" s="522" t="str">
        <f>L_CViec!B19</f>
        <v>Theo hình thức trực tiếp</v>
      </c>
      <c r="C20" s="523" t="str">
        <f>L_CViec!AB19</f>
        <v>Hồ sơ</v>
      </c>
      <c r="D20" s="1106">
        <f>L_CViec!AA19</f>
        <v>1</v>
      </c>
      <c r="E20" s="523" t="str">
        <f>L_CViec!AC19</f>
        <v>1KS2</v>
      </c>
      <c r="F20" s="521" t="str">
        <f>L_CViec!AD19</f>
        <v>1-3</v>
      </c>
      <c r="G20" s="955">
        <f>L_CViec!AE19</f>
        <v>0.15</v>
      </c>
      <c r="H20" s="1107">
        <f>L_CViec!AF19</f>
        <v>296770.5</v>
      </c>
      <c r="I20" s="294">
        <f t="shared" ref="I20:I33" si="0">G20*H20</f>
        <v>44515.574999999997</v>
      </c>
      <c r="J20" s="1065">
        <f>$D20*$G20*L_CBac!$J$68</f>
        <v>3834.6749999999997</v>
      </c>
      <c r="K20" s="1065"/>
      <c r="M20" s="483"/>
      <c r="N20" s="118"/>
    </row>
    <row r="21" spans="1:14" s="111" customFormat="1" ht="19.5" customHeight="1">
      <c r="A21" s="523" t="str">
        <f>L_CViec!A20</f>
        <v>1.4.2</v>
      </c>
      <c r="B21" s="522" t="str">
        <f>L_CViec!B20</f>
        <v>Theo hình thức trực tuyến</v>
      </c>
      <c r="C21" s="523" t="str">
        <f>L_CViec!AB20</f>
        <v>Hồ sơ</v>
      </c>
      <c r="D21" s="1106">
        <f>L_CViec!AA20</f>
        <v>1</v>
      </c>
      <c r="E21" s="523" t="str">
        <f>L_CViec!AC20</f>
        <v>1KS2</v>
      </c>
      <c r="F21" s="521" t="str">
        <f>L_CViec!AD20</f>
        <v>1-3</v>
      </c>
      <c r="G21" s="955">
        <f>L_CViec!AE20</f>
        <v>0.1</v>
      </c>
      <c r="H21" s="1107">
        <f>L_CViec!AF20</f>
        <v>296770.5</v>
      </c>
      <c r="I21" s="294">
        <f t="shared" si="0"/>
        <v>29677.050000000003</v>
      </c>
      <c r="J21" s="1065">
        <f>$D21*$G21*L_CBac!$J$68</f>
        <v>2556.4500000000003</v>
      </c>
      <c r="K21" s="1065">
        <f>$D21*$G21*L_CBac!$J$69</f>
        <v>2807.6923076923081</v>
      </c>
      <c r="M21" s="483"/>
      <c r="N21" s="118"/>
    </row>
    <row r="22" spans="1:14" s="111" customFormat="1" ht="63.75">
      <c r="A22" s="523" t="str">
        <f>L_CViec!A21</f>
        <v>2</v>
      </c>
      <c r="B22" s="522" t="str">
        <f>L_CViec!B21</f>
        <v>Nhận, kiểm tra tính đầy đủ của thành phần hồ sơ, tính thống nhất về nội dung thông tin giữa các giấy tờ, tính đầy đủ của nội dung kê khai và cấp Giấy tiếp nhận hồ sơ và hẹn trả kết quả hoặc trả lại hồ sơ, vào sổ theo dõi nhận, trả hồ sơ (theo hình thức trực tiếp, trực tuyến)</v>
      </c>
      <c r="C22" s="523" t="str">
        <f>L_CViec!AB21</f>
        <v>Hồ sơ</v>
      </c>
      <c r="D22" s="1106">
        <f>L_CViec!AA21</f>
        <v>1</v>
      </c>
      <c r="E22" s="523" t="str">
        <f>L_CViec!AC21</f>
        <v>1KS2</v>
      </c>
      <c r="F22" s="521" t="str">
        <f>L_CViec!AD21</f>
        <v>1-3</v>
      </c>
      <c r="G22" s="955">
        <f>L_CViec!AE21</f>
        <v>0.2</v>
      </c>
      <c r="H22" s="1107">
        <f>L_CViec!AF21</f>
        <v>296770.5</v>
      </c>
      <c r="I22" s="294">
        <f t="shared" si="0"/>
        <v>59354.100000000006</v>
      </c>
      <c r="J22" s="1065">
        <f>$D22*$G22*L_CBac!$J$68</f>
        <v>5112.9000000000005</v>
      </c>
      <c r="K22" s="1065">
        <f>$D22*$G22*L_CBac!$J$69</f>
        <v>5615.3846153846162</v>
      </c>
      <c r="M22" s="483"/>
      <c r="N22" s="118"/>
    </row>
    <row r="23" spans="1:14" s="85" customFormat="1" ht="25.5">
      <c r="A23" s="523" t="str">
        <f>L_CViec!A22</f>
        <v>3</v>
      </c>
      <c r="B23" s="522" t="str">
        <f>L_CViec!B22</f>
        <v>Tạo tệp (File) dữ liệu hồ sơ số và nhập thông tin do người sử dụng đất kê khai, đăng ký</v>
      </c>
      <c r="C23" s="523" t="str">
        <f>L_CViec!AB22</f>
        <v>Thửa</v>
      </c>
      <c r="D23" s="1106">
        <f>L_CViec!AA22</f>
        <v>1</v>
      </c>
      <c r="E23" s="523" t="str">
        <f>L_CViec!AC22</f>
        <v>1KS3</v>
      </c>
      <c r="F23" s="521" t="str">
        <f>L_CViec!AD22</f>
        <v>1-3</v>
      </c>
      <c r="G23" s="955">
        <f>L_CViec!AE22</f>
        <v>0.107</v>
      </c>
      <c r="H23" s="1107">
        <f>L_CViec!AF22</f>
        <v>333450</v>
      </c>
      <c r="I23" s="294">
        <f t="shared" si="0"/>
        <v>35679.15</v>
      </c>
      <c r="J23" s="1065">
        <f>$D23*$G23*L_CBac!$J$68</f>
        <v>2735.4014999999999</v>
      </c>
      <c r="K23" s="1065">
        <f>$D23*$G23*L_CBac!$J$69</f>
        <v>3004.2307692307695</v>
      </c>
      <c r="M23" s="483"/>
      <c r="N23" s="118"/>
    </row>
    <row r="24" spans="1:14" s="85" customFormat="1" ht="25.5">
      <c r="A24" s="1111" t="str">
        <f>L_CViec!A23</f>
        <v>4</v>
      </c>
      <c r="B24" s="1112" t="str">
        <f>L_CViec!B23</f>
        <v>Quét giấy tờ pháp lý về quyền sử dụng đất, quyền sở hữu nhà ở và tài sản khác gắn liền với đất</v>
      </c>
      <c r="C24" s="1111">
        <f>L_CViec!AB23</f>
        <v>0</v>
      </c>
      <c r="D24" s="1113">
        <f>L_CViec!AA23</f>
        <v>0</v>
      </c>
      <c r="E24" s="1111">
        <f>L_CViec!AC23</f>
        <v>0</v>
      </c>
      <c r="F24" s="1114">
        <f>L_CViec!AD23</f>
        <v>0</v>
      </c>
      <c r="G24" s="1115">
        <f>L_CViec!AE23</f>
        <v>0</v>
      </c>
      <c r="H24" s="1116">
        <f>L_CViec!AF23</f>
        <v>0</v>
      </c>
      <c r="I24" s="1117">
        <f t="shared" si="0"/>
        <v>0</v>
      </c>
      <c r="J24" s="1065">
        <f>$D24*$G24*L_CBac!$J$68</f>
        <v>0</v>
      </c>
      <c r="K24" s="1065">
        <f>$D24*$G24*L_CBac!$J$69</f>
        <v>0</v>
      </c>
      <c r="M24" s="483"/>
      <c r="N24" s="118"/>
    </row>
    <row r="25" spans="1:14" s="85" customFormat="1">
      <c r="A25" s="1111">
        <f>L_CViec!A24</f>
        <v>4.0999999999999996</v>
      </c>
      <c r="B25" s="1118" t="str">
        <f>L_CViec!B24</f>
        <v>Quét trang A3</v>
      </c>
      <c r="C25" s="1111" t="str">
        <f>L_CViec!AB24</f>
        <v>Trang</v>
      </c>
      <c r="D25" s="1113">
        <f>L_CViec!AA24</f>
        <v>1</v>
      </c>
      <c r="E25" s="1111" t="str">
        <f>L_CViec!AC24</f>
        <v>1KS1</v>
      </c>
      <c r="F25" s="1114" t="str">
        <f>L_CViec!AD24</f>
        <v>1-3</v>
      </c>
      <c r="G25" s="1115">
        <f>L_CViec!AE24</f>
        <v>1.6E-2</v>
      </c>
      <c r="H25" s="1116">
        <f>L_CViec!AF24</f>
        <v>260091</v>
      </c>
      <c r="I25" s="1117">
        <f t="shared" si="0"/>
        <v>4161.4560000000001</v>
      </c>
      <c r="J25" s="1065">
        <f>$D25*$G25*L_CBac!$J$68</f>
        <v>409.03199999999998</v>
      </c>
      <c r="K25" s="1065">
        <f>$D25*$G25*L_CBac!$J$69</f>
        <v>449.23076923076928</v>
      </c>
      <c r="M25" s="483"/>
      <c r="N25" s="118"/>
    </row>
    <row r="26" spans="1:14" s="85" customFormat="1">
      <c r="A26" s="1111">
        <f>L_CViec!A25</f>
        <v>4.2</v>
      </c>
      <c r="B26" s="1118" t="str">
        <f>L_CViec!B25</f>
        <v>Quét trang A4</v>
      </c>
      <c r="C26" s="1111" t="str">
        <f>L_CViec!AB25</f>
        <v>Trang</v>
      </c>
      <c r="D26" s="1113">
        <f>L_CViec!AA25</f>
        <v>1</v>
      </c>
      <c r="E26" s="1111" t="str">
        <f>L_CViec!AC25</f>
        <v>1KS1</v>
      </c>
      <c r="F26" s="1114" t="str">
        <f>L_CViec!AD25</f>
        <v>1-3</v>
      </c>
      <c r="G26" s="1115">
        <f>L_CViec!AE25</f>
        <v>8.0000000000000002E-3</v>
      </c>
      <c r="H26" s="1116">
        <f>L_CViec!AF25</f>
        <v>260091</v>
      </c>
      <c r="I26" s="1117">
        <f t="shared" si="0"/>
        <v>2080.7280000000001</v>
      </c>
      <c r="J26" s="1065">
        <f>$D26*$G26*L_CBac!$J$68</f>
        <v>204.51599999999999</v>
      </c>
      <c r="K26" s="1065">
        <f>$D26*$G26*L_CBac!$J$69</f>
        <v>224.61538461538464</v>
      </c>
      <c r="M26" s="483"/>
      <c r="N26" s="118"/>
    </row>
    <row r="27" spans="1:14" s="85" customFormat="1" ht="25.5">
      <c r="A27" s="1111">
        <f>L_CViec!A26</f>
        <v>5</v>
      </c>
      <c r="B27" s="1118" t="str">
        <f>L_CViec!B26</f>
        <v>Xử lý các tệp tin quét thành tệp (File) hồ sơ quét dạng số của thửa đất, lưu trữ dưới khuôn dạng tệp tin PDF</v>
      </c>
      <c r="C27" s="1111" t="str">
        <f>L_CViec!AB26</f>
        <v>Trang</v>
      </c>
      <c r="D27" s="1113">
        <f>L_CViec!AA26</f>
        <v>1</v>
      </c>
      <c r="E27" s="1111" t="str">
        <f>L_CViec!AC26</f>
        <v>1KS1</v>
      </c>
      <c r="F27" s="1114" t="str">
        <f>L_CViec!AD26</f>
        <v>1-3</v>
      </c>
      <c r="G27" s="1115">
        <f>L_CViec!AE26</f>
        <v>4.0000000000000001E-3</v>
      </c>
      <c r="H27" s="1116">
        <f>L_CViec!AF26</f>
        <v>260091</v>
      </c>
      <c r="I27" s="1117">
        <f t="shared" si="0"/>
        <v>1040.364</v>
      </c>
      <c r="J27" s="1065"/>
      <c r="K27" s="1065"/>
      <c r="M27" s="483"/>
      <c r="N27" s="118"/>
    </row>
    <row r="28" spans="1:14" s="85" customFormat="1" ht="30.75" customHeight="1">
      <c r="A28" s="1111">
        <f>L_CViec!A27</f>
        <v>6</v>
      </c>
      <c r="B28" s="1118" t="str">
        <f>L_CViec!B27</f>
        <v>Trích lục bản đồ địa chính đối với nơi đã có bản đồ địa chính hoặc kiểm tra, ký xác nhận mảnh trích đo bản đồ địa chính</v>
      </c>
      <c r="C28" s="1111">
        <f>L_CViec!AB27</f>
        <v>0</v>
      </c>
      <c r="D28" s="1113">
        <f>L_CViec!AA27</f>
        <v>0</v>
      </c>
      <c r="E28" s="1111">
        <f>L_CViec!AC27</f>
        <v>0</v>
      </c>
      <c r="F28" s="1114">
        <f>L_CViec!AD27</f>
        <v>0</v>
      </c>
      <c r="G28" s="1115">
        <f>L_CViec!AE27</f>
        <v>0</v>
      </c>
      <c r="H28" s="1116">
        <f>L_CViec!AF27</f>
        <v>0</v>
      </c>
      <c r="I28" s="1117">
        <f t="shared" si="0"/>
        <v>0</v>
      </c>
      <c r="J28" s="1065">
        <f>$D28*$G28*L_CBac!$J$68</f>
        <v>0</v>
      </c>
      <c r="K28" s="1065">
        <f>$D28*$G28*L_CBac!$J$69</f>
        <v>0</v>
      </c>
      <c r="M28" s="483"/>
      <c r="N28" s="118"/>
    </row>
    <row r="29" spans="1:14" s="85" customFormat="1">
      <c r="A29" s="1111" t="str">
        <f>L_CViec!A28</f>
        <v>6.1</v>
      </c>
      <c r="B29" s="1118" t="str">
        <f>L_CViec!B28</f>
        <v>Trích lục trên bản đồ dạng số</v>
      </c>
      <c r="C29" s="1111" t="str">
        <f>L_CViec!AB28</f>
        <v>Hồ sơ</v>
      </c>
      <c r="D29" s="1113">
        <f>L_CViec!AA28</f>
        <v>1</v>
      </c>
      <c r="E29" s="1111" t="str">
        <f>L_CViec!AC28</f>
        <v>1KS2</v>
      </c>
      <c r="F29" s="1114" t="str">
        <f>L_CViec!AD28</f>
        <v>1-3</v>
      </c>
      <c r="G29" s="1115">
        <f>L_CViec!AE28</f>
        <v>0.04</v>
      </c>
      <c r="H29" s="1116">
        <f>L_CViec!AF28</f>
        <v>296770.5</v>
      </c>
      <c r="I29" s="1117">
        <f t="shared" si="0"/>
        <v>11870.82</v>
      </c>
      <c r="J29" s="1065"/>
      <c r="K29" s="1065"/>
      <c r="M29" s="483"/>
      <c r="N29" s="118"/>
    </row>
    <row r="30" spans="1:14" s="85" customFormat="1">
      <c r="A30" s="1111" t="str">
        <f>L_CViec!A29</f>
        <v>6.2</v>
      </c>
      <c r="B30" s="1118" t="str">
        <f>L_CViec!B29</f>
        <v>Trích lục trên bản đồ dạng giấy</v>
      </c>
      <c r="C30" s="1111" t="str">
        <f>L_CViec!AB29</f>
        <v>Hồ sơ</v>
      </c>
      <c r="D30" s="1113">
        <f>L_CViec!AA29</f>
        <v>1</v>
      </c>
      <c r="E30" s="1111" t="str">
        <f>L_CViec!AC29</f>
        <v>1KS2</v>
      </c>
      <c r="F30" s="1114" t="str">
        <f>L_CViec!AD29</f>
        <v>1-3</v>
      </c>
      <c r="G30" s="1115">
        <f>L_CViec!AE29</f>
        <v>0.08</v>
      </c>
      <c r="H30" s="1116">
        <f>L_CViec!AF29</f>
        <v>296770.5</v>
      </c>
      <c r="I30" s="1117">
        <f t="shared" si="0"/>
        <v>23741.64</v>
      </c>
      <c r="J30" s="1065">
        <f>$D30*$G30*L_CBac!$J$68</f>
        <v>2045.16</v>
      </c>
      <c r="K30" s="1065">
        <f>$D30*$G30*L_CBac!$J$69</f>
        <v>2246.1538461538462</v>
      </c>
      <c r="M30" s="483"/>
      <c r="N30" s="118"/>
    </row>
    <row r="31" spans="1:14" s="85" customFormat="1" ht="51" customHeight="1">
      <c r="A31" s="1435" t="str">
        <f>L_CViec!A30</f>
        <v>7</v>
      </c>
      <c r="B31" s="1432" t="str">
        <f>L_CViec!B30</f>
        <v>Xác nhận hiện trạng sử dụng đất có hay không có nhà ở, công trình xây dựng; tình trạng tranh chấp đất đai, tài sản gắn liền với đất; xác định đất sử dụng ổn định; xác định nguồn gốc sử dụng đất; xác nhận sự phù hợp với quy hoạch</v>
      </c>
      <c r="C31" s="1111" t="str">
        <f>L_CViec!AB30</f>
        <v>Hồ sơ</v>
      </c>
      <c r="D31" s="1113">
        <f>L_CViec!AA30</f>
        <v>2</v>
      </c>
      <c r="E31" s="1111" t="str">
        <f>L_CViec!AC30</f>
        <v>1KS2, 1KTV4</v>
      </c>
      <c r="F31" s="1114" t="str">
        <f>L_CViec!AD30</f>
        <v>1</v>
      </c>
      <c r="G31" s="1115">
        <f>L_CViec!AE30</f>
        <v>0.45</v>
      </c>
      <c r="H31" s="1116">
        <f>L_CViec!AF30</f>
        <v>570199.5</v>
      </c>
      <c r="I31" s="1117">
        <f>G31*H31</f>
        <v>256589.77499999999</v>
      </c>
      <c r="J31" s="1065"/>
      <c r="K31" s="1065"/>
      <c r="M31" s="483"/>
      <c r="N31" s="118"/>
    </row>
    <row r="32" spans="1:14" s="471" customFormat="1">
      <c r="A32" s="1436"/>
      <c r="B32" s="1433"/>
      <c r="C32" s="1111">
        <f>L_CViec!AB31</f>
        <v>0</v>
      </c>
      <c r="D32" s="1113">
        <f>L_CViec!AA31</f>
        <v>1</v>
      </c>
      <c r="E32" s="1111" t="str">
        <f>L_CViec!AC31</f>
        <v>LĐPT</v>
      </c>
      <c r="F32" s="1114">
        <f>L_CViec!AD31</f>
        <v>0</v>
      </c>
      <c r="G32" s="1115">
        <f>L_CViec!AE31</f>
        <v>0.25</v>
      </c>
      <c r="H32" s="1116">
        <f>L_CViec!AF31</f>
        <v>181923.07692307694</v>
      </c>
      <c r="I32" s="1117">
        <f t="shared" si="0"/>
        <v>45480.769230769234</v>
      </c>
      <c r="J32" s="1065">
        <f>$D32*$G32*L_CBac!$J$68</f>
        <v>6391.125</v>
      </c>
      <c r="K32" s="1065">
        <f>$D32*$G32*L_CBac!$J$69</f>
        <v>7019.2307692307695</v>
      </c>
      <c r="M32" s="900"/>
      <c r="N32" s="901"/>
    </row>
    <row r="33" spans="1:14" s="85" customFormat="1">
      <c r="A33" s="1436"/>
      <c r="B33" s="1433"/>
      <c r="C33" s="1111">
        <f>L_CViec!AB32</f>
        <v>0</v>
      </c>
      <c r="D33" s="1113">
        <f>L_CViec!AA32</f>
        <v>2</v>
      </c>
      <c r="E33" s="1111" t="str">
        <f>L_CViec!AC32</f>
        <v>1KS2, 1KTV4</v>
      </c>
      <c r="F33" s="1114" t="str">
        <f>L_CViec!AD32</f>
        <v>2</v>
      </c>
      <c r="G33" s="1115">
        <f>L_CViec!AE32</f>
        <v>0.54</v>
      </c>
      <c r="H33" s="1116">
        <f>L_CViec!AF32</f>
        <v>570199.5</v>
      </c>
      <c r="I33" s="1117">
        <f t="shared" si="0"/>
        <v>307907.73000000004</v>
      </c>
      <c r="J33" s="1065"/>
      <c r="K33" s="1065"/>
      <c r="M33" s="483"/>
      <c r="N33" s="118"/>
    </row>
    <row r="34" spans="1:14" s="111" customFormat="1">
      <c r="A34" s="1436"/>
      <c r="B34" s="1433"/>
      <c r="C34" s="1111">
        <f>L_CViec!AB33</f>
        <v>0</v>
      </c>
      <c r="D34" s="1113">
        <f>L_CViec!AA33</f>
        <v>1</v>
      </c>
      <c r="E34" s="1111" t="str">
        <f>L_CViec!AC33</f>
        <v>LĐPT</v>
      </c>
      <c r="F34" s="1114">
        <f>L_CViec!AD33</f>
        <v>0</v>
      </c>
      <c r="G34" s="1115">
        <f>L_CViec!AE33</f>
        <v>0.3</v>
      </c>
      <c r="H34" s="1116">
        <f>L_CViec!AF33</f>
        <v>181923.07692307694</v>
      </c>
      <c r="I34" s="1117">
        <f>G34*H34</f>
        <v>54576.923076923078</v>
      </c>
      <c r="J34" s="1065">
        <f>$D34*$G34*L_CBac!$J$68</f>
        <v>7669.3499999999995</v>
      </c>
      <c r="K34" s="1065">
        <f>$D34*$G34*L_CBac!$J$69</f>
        <v>8423.0769230769238</v>
      </c>
      <c r="M34" s="483"/>
      <c r="N34" s="118"/>
    </row>
    <row r="35" spans="1:14" s="111" customFormat="1">
      <c r="A35" s="1436"/>
      <c r="B35" s="1433"/>
      <c r="C35" s="1111">
        <f>L_CViec!AB34</f>
        <v>0</v>
      </c>
      <c r="D35" s="1113">
        <f>L_CViec!AA34</f>
        <v>2</v>
      </c>
      <c r="E35" s="1111" t="str">
        <f>L_CViec!AC34</f>
        <v>1KS2, 1KTV4</v>
      </c>
      <c r="F35" s="1114" t="str">
        <f>L_CViec!AD34</f>
        <v>3</v>
      </c>
      <c r="G35" s="1115">
        <f>L_CViec!AE34</f>
        <v>0.64800000000000002</v>
      </c>
      <c r="H35" s="1116">
        <f>L_CViec!AF34</f>
        <v>570199.5</v>
      </c>
      <c r="I35" s="1117">
        <f>G35*H35</f>
        <v>369489.27600000001</v>
      </c>
      <c r="J35" s="1065">
        <f>$D35*$G35*L_CBac!$J$68</f>
        <v>33131.592000000004</v>
      </c>
      <c r="K35" s="1065">
        <f>$D35*$G35*L_CBac!$J$69</f>
        <v>36387.692307692312</v>
      </c>
      <c r="M35" s="483"/>
      <c r="N35" s="118"/>
    </row>
    <row r="36" spans="1:14" s="85" customFormat="1">
      <c r="A36" s="1437"/>
      <c r="B36" s="1434"/>
      <c r="C36" s="1111">
        <f>L_CViec!AB35</f>
        <v>0</v>
      </c>
      <c r="D36" s="1113">
        <f>L_CViec!AA35</f>
        <v>1</v>
      </c>
      <c r="E36" s="1111" t="str">
        <f>L_CViec!AC35</f>
        <v>LĐPT</v>
      </c>
      <c r="F36" s="1114">
        <f>L_CViec!AD35</f>
        <v>0</v>
      </c>
      <c r="G36" s="1115">
        <f>L_CViec!AE35</f>
        <v>0.36</v>
      </c>
      <c r="H36" s="1116">
        <f>L_CViec!AF35</f>
        <v>181923.07692307694</v>
      </c>
      <c r="I36" s="1117">
        <f>G36*H36</f>
        <v>65492.307692307695</v>
      </c>
      <c r="J36" s="1065">
        <f>$D36*$G36*L_CBac!$J$68</f>
        <v>9203.2199999999993</v>
      </c>
      <c r="K36" s="1065">
        <f>$D36*$G36*L_CBac!$J$69</f>
        <v>10107.692307692309</v>
      </c>
      <c r="M36" s="483"/>
      <c r="N36" s="118"/>
    </row>
    <row r="37" spans="1:14" s="85" customFormat="1" ht="25.5" customHeight="1">
      <c r="A37" s="1438" t="str">
        <f>L_CViec!A36</f>
        <v>8</v>
      </c>
      <c r="B37" s="1441" t="str">
        <f>L_CViec!B36</f>
        <v xml:space="preserve">Kiểm tra thực tế sử dụng đất của tổ chức, xác định ranh giới cụ thể của thửa đất đối với tổ chức </v>
      </c>
      <c r="C37" s="523" t="str">
        <f>L_CViec!AB36</f>
        <v>Hồ sơ</v>
      </c>
      <c r="D37" s="1106">
        <f>L_CViec!AA36</f>
        <v>2</v>
      </c>
      <c r="E37" s="523" t="str">
        <f>L_CViec!AC36</f>
        <v>1KS2, 1KTV4</v>
      </c>
      <c r="F37" s="521" t="str">
        <f>L_CViec!AD36</f>
        <v>1</v>
      </c>
      <c r="G37" s="955">
        <f>L_CViec!AE36</f>
        <v>1.1000000000000001</v>
      </c>
      <c r="H37" s="1107">
        <f>L_CViec!AF36</f>
        <v>570199.5</v>
      </c>
      <c r="I37" s="294">
        <f>G37*H37</f>
        <v>627219.45000000007</v>
      </c>
      <c r="J37" s="1065">
        <f>$D37*$G37*L_CBac!$J$68</f>
        <v>56241.9</v>
      </c>
      <c r="K37" s="1065">
        <f>$D37*$G37*L_CBac!$J$69</f>
        <v>61769.230769230773</v>
      </c>
      <c r="M37" s="483"/>
      <c r="N37" s="118"/>
    </row>
    <row r="38" spans="1:14" s="85" customFormat="1">
      <c r="A38" s="1439"/>
      <c r="B38" s="1442"/>
      <c r="C38" s="523">
        <f>L_CViec!AB37</f>
        <v>0</v>
      </c>
      <c r="D38" s="1106">
        <f>L_CViec!AA37</f>
        <v>1</v>
      </c>
      <c r="E38" s="523" t="str">
        <f>L_CViec!AC37</f>
        <v>LĐPT</v>
      </c>
      <c r="F38" s="521">
        <f>L_CViec!AD37</f>
        <v>0</v>
      </c>
      <c r="G38" s="955">
        <f>L_CViec!AE37</f>
        <v>0.61</v>
      </c>
      <c r="H38" s="1107">
        <f>L_CViec!AF37</f>
        <v>181923.07692307694</v>
      </c>
      <c r="I38" s="294"/>
      <c r="J38" s="1065"/>
      <c r="K38" s="1065"/>
      <c r="M38" s="483"/>
      <c r="N38" s="118"/>
    </row>
    <row r="39" spans="1:14" s="111" customFormat="1">
      <c r="A39" s="1439"/>
      <c r="B39" s="1442"/>
      <c r="C39" s="523">
        <f>L_CViec!AB38</f>
        <v>0</v>
      </c>
      <c r="D39" s="1106">
        <f>L_CViec!AA38</f>
        <v>2</v>
      </c>
      <c r="E39" s="523" t="str">
        <f>L_CViec!AC38</f>
        <v>1KS2, 1KTV4</v>
      </c>
      <c r="F39" s="521" t="str">
        <f>L_CViec!AD38</f>
        <v>2</v>
      </c>
      <c r="G39" s="955">
        <f>L_CViec!AE38</f>
        <v>1.21</v>
      </c>
      <c r="H39" s="1107">
        <f>L_CViec!AF38</f>
        <v>570199.5</v>
      </c>
      <c r="I39" s="294">
        <f t="shared" ref="I39:I44" si="1">G39*H39</f>
        <v>689941.39500000002</v>
      </c>
      <c r="J39" s="1065">
        <f>$D39*$G39*L_CBac!$J$68</f>
        <v>61866.09</v>
      </c>
      <c r="K39" s="1065">
        <f>$D39*$G39*L_CBac!$J$69</f>
        <v>67946.153846153844</v>
      </c>
      <c r="M39" s="483"/>
      <c r="N39" s="118"/>
    </row>
    <row r="40" spans="1:14" s="111" customFormat="1">
      <c r="A40" s="1439"/>
      <c r="B40" s="1442"/>
      <c r="C40" s="523">
        <f>L_CViec!AB39</f>
        <v>0</v>
      </c>
      <c r="D40" s="1106">
        <f>L_CViec!AA39</f>
        <v>1</v>
      </c>
      <c r="E40" s="523" t="str">
        <f>L_CViec!AC39</f>
        <v>LĐPT</v>
      </c>
      <c r="F40" s="521">
        <f>L_CViec!AD39</f>
        <v>0</v>
      </c>
      <c r="G40" s="955">
        <f>L_CViec!AE39</f>
        <v>0.67</v>
      </c>
      <c r="H40" s="1107">
        <f>L_CViec!AF39</f>
        <v>181923.07692307694</v>
      </c>
      <c r="I40" s="294">
        <f t="shared" si="1"/>
        <v>121888.46153846156</v>
      </c>
      <c r="J40" s="1065">
        <f>$D40*$G40*L_CBac!$J$68</f>
        <v>17128.215</v>
      </c>
      <c r="K40" s="1065">
        <f>$D40*$G40*L_CBac!$J$69</f>
        <v>18811.538461538465</v>
      </c>
      <c r="M40" s="483"/>
      <c r="N40" s="118"/>
    </row>
    <row r="41" spans="1:14" s="85" customFormat="1">
      <c r="A41" s="1439"/>
      <c r="B41" s="1442"/>
      <c r="C41" s="523">
        <f>L_CViec!AB40</f>
        <v>0</v>
      </c>
      <c r="D41" s="1106">
        <f>L_CViec!AA40</f>
        <v>2</v>
      </c>
      <c r="E41" s="523" t="str">
        <f>L_CViec!AC40</f>
        <v>1KS2, 1KTV4</v>
      </c>
      <c r="F41" s="521" t="str">
        <f>L_CViec!AD40</f>
        <v>3</v>
      </c>
      <c r="G41" s="955">
        <f>L_CViec!AE40</f>
        <v>1.331</v>
      </c>
      <c r="H41" s="1107">
        <f>L_CViec!AF40</f>
        <v>570199.5</v>
      </c>
      <c r="I41" s="294">
        <f t="shared" si="1"/>
        <v>758935.53449999995</v>
      </c>
      <c r="J41" s="1065">
        <f>$D41*$G41*L_CBac!$J$68</f>
        <v>68052.698999999993</v>
      </c>
      <c r="K41" s="1065">
        <f>$D41*$G41*L_CBac!$J$69</f>
        <v>74740.769230769234</v>
      </c>
      <c r="M41" s="483"/>
      <c r="N41" s="118"/>
    </row>
    <row r="42" spans="1:14" s="471" customFormat="1">
      <c r="A42" s="1440"/>
      <c r="B42" s="1443"/>
      <c r="C42" s="523">
        <f>L_CViec!AB41</f>
        <v>0</v>
      </c>
      <c r="D42" s="1106">
        <f>L_CViec!AA41</f>
        <v>1</v>
      </c>
      <c r="E42" s="523" t="str">
        <f>L_CViec!AC41</f>
        <v>LĐPT</v>
      </c>
      <c r="F42" s="521">
        <f>L_CViec!AD41</f>
        <v>0</v>
      </c>
      <c r="G42" s="955">
        <f>L_CViec!AE41</f>
        <v>0.73</v>
      </c>
      <c r="H42" s="1107">
        <f>L_CViec!AF41</f>
        <v>181923.07692307694</v>
      </c>
      <c r="I42" s="1117">
        <f t="shared" si="1"/>
        <v>132803.84615384616</v>
      </c>
      <c r="J42" s="1065">
        <f>$D42*$G42*L_CBac!$J$68</f>
        <v>18662.084999999999</v>
      </c>
      <c r="K42" s="1065">
        <f>$D42*$G42*L_CBac!$J$69</f>
        <v>20496.153846153848</v>
      </c>
      <c r="M42" s="900"/>
      <c r="N42" s="901"/>
    </row>
    <row r="43" spans="1:14" s="85" customFormat="1" ht="25.5">
      <c r="A43" s="523" t="str">
        <f>L_CViec!A42</f>
        <v>9</v>
      </c>
      <c r="B43" s="525" t="str">
        <f>L_CViec!B42</f>
        <v>Lập biên bản kiểm tra việc sử dụng đất, ranh giới sử dụng đất của tổ chức</v>
      </c>
      <c r="C43" s="523" t="str">
        <f>L_CViec!AB42</f>
        <v>Hồ sơ</v>
      </c>
      <c r="D43" s="1106">
        <f>L_CViec!AA42</f>
        <v>1</v>
      </c>
      <c r="E43" s="523" t="str">
        <f>L_CViec!AC42</f>
        <v>1KS3</v>
      </c>
      <c r="F43" s="521" t="str">
        <f>L_CViec!AD42</f>
        <v>1-3</v>
      </c>
      <c r="G43" s="955">
        <f>L_CViec!AE42</f>
        <v>0.05</v>
      </c>
      <c r="H43" s="1107">
        <f>L_CViec!AF42</f>
        <v>296770.5</v>
      </c>
      <c r="I43" s="294">
        <f t="shared" si="1"/>
        <v>14838.525000000001</v>
      </c>
      <c r="J43" s="1065">
        <f>$D43*$G43*L_CBac!$J$68</f>
        <v>1278.2250000000001</v>
      </c>
      <c r="K43" s="1065">
        <f>$D43*$G43*L_CBac!$J$69</f>
        <v>1403.846153846154</v>
      </c>
      <c r="M43" s="483"/>
      <c r="N43" s="118"/>
    </row>
    <row r="44" spans="1:14" s="85" customFormat="1" ht="25.5">
      <c r="A44" s="523" t="str">
        <f>L_CViec!A43</f>
        <v>10</v>
      </c>
      <c r="B44" s="525" t="str">
        <f>L_CViec!B43</f>
        <v>Niêm yết công khai các nội dung xác nhận tại trụ sở Ủy ban nhân dân cấp xã,phường,đặc khu, khu dân cư nơi có đất</v>
      </c>
      <c r="C44" s="523" t="str">
        <f>L_CViec!AB43</f>
        <v>Hồ sơ</v>
      </c>
      <c r="D44" s="1106">
        <f>L_CViec!AA43</f>
        <v>1</v>
      </c>
      <c r="E44" s="523" t="str">
        <f>L_CViec!AC43</f>
        <v>1KTV4</v>
      </c>
      <c r="F44" s="521" t="str">
        <f>L_CViec!AD43</f>
        <v>1-3</v>
      </c>
      <c r="G44" s="955">
        <f>L_CViec!AE43</f>
        <v>1.4999999999999999E-2</v>
      </c>
      <c r="H44" s="1107">
        <f>L_CViec!AF43</f>
        <v>273429.00000000006</v>
      </c>
      <c r="I44" s="294">
        <f t="shared" si="1"/>
        <v>4101.4350000000004</v>
      </c>
      <c r="J44" s="1065">
        <f>$D44*$G44*L_CBac!$J$68</f>
        <v>383.46749999999997</v>
      </c>
      <c r="K44" s="1065">
        <f>$D44*$G44*L_CBac!$J$69</f>
        <v>421.15384615384613</v>
      </c>
      <c r="M44" s="483"/>
      <c r="N44" s="118"/>
    </row>
    <row r="45" spans="1:14" s="85" customFormat="1" ht="39" customHeight="1">
      <c r="A45" s="523" t="str">
        <f>L_CViec!A44</f>
        <v>11</v>
      </c>
      <c r="B45" s="525" t="str">
        <f>L_CViec!B44</f>
        <v>Nhận các ý kiến phản ánh; Xem xét giải quyết các ý kiến phản ánh về nội dung đã công khai</v>
      </c>
      <c r="C45" s="523">
        <f>L_CViec!AB44</f>
        <v>0</v>
      </c>
      <c r="D45" s="1106">
        <f>L_CViec!AA44</f>
        <v>0</v>
      </c>
      <c r="E45" s="523">
        <f>L_CViec!AC44</f>
        <v>0</v>
      </c>
      <c r="F45" s="521">
        <f>L_CViec!AD44</f>
        <v>0</v>
      </c>
      <c r="G45" s="955">
        <f>L_CViec!AE44</f>
        <v>0</v>
      </c>
      <c r="H45" s="1107">
        <f>L_CViec!AF44</f>
        <v>0</v>
      </c>
      <c r="I45" s="294"/>
      <c r="J45" s="1065"/>
      <c r="K45" s="1065"/>
      <c r="M45" s="483"/>
      <c r="N45" s="118"/>
    </row>
    <row r="46" spans="1:14" s="111" customFormat="1" ht="21" customHeight="1">
      <c r="A46" s="523" t="str">
        <f>L_CViec!A45</f>
        <v>11.1</v>
      </c>
      <c r="B46" s="525" t="str">
        <f>L_CViec!B45</f>
        <v>Theo hình thức trực tiếp</v>
      </c>
      <c r="C46" s="523" t="str">
        <f>L_CViec!AB45</f>
        <v>Hồ sơ</v>
      </c>
      <c r="D46" s="1106">
        <f>L_CViec!AA45</f>
        <v>1</v>
      </c>
      <c r="E46" s="523" t="str">
        <f>L_CViec!AC45</f>
        <v>1KS3</v>
      </c>
      <c r="F46" s="521" t="str">
        <f>L_CViec!AD45</f>
        <v>1-3</v>
      </c>
      <c r="G46" s="955">
        <f>L_CViec!AE45</f>
        <v>1.4999999999999999E-2</v>
      </c>
      <c r="H46" s="1107">
        <f>L_CViec!AF45</f>
        <v>333450</v>
      </c>
      <c r="I46" s="294">
        <f>G46*H46</f>
        <v>5001.75</v>
      </c>
      <c r="J46" s="1065">
        <f>$D46*$G46*L_CBac!$J$68</f>
        <v>383.46749999999997</v>
      </c>
      <c r="K46" s="1065">
        <f>$D46*$G46*L_CBac!$J$69</f>
        <v>421.15384615384613</v>
      </c>
      <c r="M46" s="483"/>
      <c r="N46" s="118"/>
    </row>
    <row r="47" spans="1:14" s="111" customFormat="1" ht="21" customHeight="1">
      <c r="A47" s="523" t="str">
        <f>L_CViec!A46</f>
        <v>11.2</v>
      </c>
      <c r="B47" s="525" t="str">
        <f>L_CViec!B46</f>
        <v>Theo hình thức trực tuyến</v>
      </c>
      <c r="C47" s="523" t="str">
        <f>L_CViec!AB46</f>
        <v>Hồ sơ</v>
      </c>
      <c r="D47" s="1106">
        <f>L_CViec!AA46</f>
        <v>1</v>
      </c>
      <c r="E47" s="523" t="str">
        <f>L_CViec!AC46</f>
        <v>1KS3</v>
      </c>
      <c r="F47" s="521" t="str">
        <f>L_CViec!AD46</f>
        <v>1-3</v>
      </c>
      <c r="G47" s="955">
        <f>L_CViec!AE46</f>
        <v>0.01</v>
      </c>
      <c r="H47" s="1107">
        <f>L_CViec!AF46</f>
        <v>333450</v>
      </c>
      <c r="I47" s="294">
        <f t="shared" ref="I47:I57" si="2">G47*H47</f>
        <v>3334.5</v>
      </c>
      <c r="J47" s="1065">
        <f>$D47*$G47*L_CBac!$J$68</f>
        <v>255.64500000000001</v>
      </c>
      <c r="K47" s="1065">
        <f>$D47*$G47*L_CBac!$J$69</f>
        <v>280.76923076923077</v>
      </c>
      <c r="M47" s="483"/>
      <c r="N47" s="118"/>
    </row>
    <row r="48" spans="1:14" s="111" customFormat="1" ht="28.5" customHeight="1">
      <c r="A48" s="523" t="str">
        <f>L_CViec!A47</f>
        <v>12</v>
      </c>
      <c r="B48" s="525" t="str">
        <f>L_CViec!B47</f>
        <v>Kiểm tra việc đủ điều kiện hay không đủ điều kiện được cấp Giấy chứng nhận</v>
      </c>
      <c r="C48" s="523" t="str">
        <f>L_CViec!AB47</f>
        <v>Thửa</v>
      </c>
      <c r="D48" s="1106">
        <f>L_CViec!AA47</f>
        <v>1</v>
      </c>
      <c r="E48" s="523" t="str">
        <f>L_CViec!AC47</f>
        <v>1KS3</v>
      </c>
      <c r="F48" s="521" t="str">
        <f>L_CViec!AD47</f>
        <v>1-3</v>
      </c>
      <c r="G48" s="955">
        <f>L_CViec!AE47</f>
        <v>0.2</v>
      </c>
      <c r="H48" s="1107">
        <f>L_CViec!AF47</f>
        <v>333450</v>
      </c>
      <c r="I48" s="294">
        <f t="shared" si="2"/>
        <v>66690</v>
      </c>
      <c r="J48" s="1065">
        <f>$D48*$G48*L_CBac!$J$68</f>
        <v>5112.9000000000005</v>
      </c>
      <c r="K48" s="1065">
        <f>$D48*$G48*L_CBac!$J$69</f>
        <v>5615.3846153846162</v>
      </c>
      <c r="M48" s="483"/>
      <c r="N48" s="118"/>
    </row>
    <row r="49" spans="1:14" s="111" customFormat="1" ht="21" customHeight="1">
      <c r="A49" s="523" t="str">
        <f>L_CViec!A48</f>
        <v>13</v>
      </c>
      <c r="B49" s="522" t="str">
        <f>L_CViec!B48</f>
        <v>Lập Tờ trình trình Chủ tịch UBND phường</v>
      </c>
      <c r="C49" s="523">
        <f>L_CViec!AB48</f>
        <v>0</v>
      </c>
      <c r="D49" s="1106">
        <f>L_CViec!AA48</f>
        <v>0</v>
      </c>
      <c r="E49" s="523">
        <f>L_CViec!AC48</f>
        <v>0</v>
      </c>
      <c r="F49" s="521">
        <f>L_CViec!AD48</f>
        <v>0</v>
      </c>
      <c r="G49" s="955">
        <f>L_CViec!AE48</f>
        <v>0</v>
      </c>
      <c r="H49" s="1107">
        <f>L_CViec!AF48</f>
        <v>0</v>
      </c>
      <c r="I49" s="294">
        <f t="shared" si="2"/>
        <v>0</v>
      </c>
      <c r="J49" s="1065">
        <f>$D49*$G49*L_CBac!$J$68</f>
        <v>0</v>
      </c>
      <c r="K49" s="1065">
        <f>$D49*$G49*L_CBac!$J$69</f>
        <v>0</v>
      </c>
      <c r="M49" s="483"/>
      <c r="N49" s="118"/>
    </row>
    <row r="50" spans="1:14" s="111" customFormat="1" ht="21" customHeight="1">
      <c r="A50" s="523" t="str">
        <f>L_CViec!A49</f>
        <v>13.1</v>
      </c>
      <c r="B50" s="522" t="str">
        <f>L_CViec!B49</f>
        <v>Theo hình thức trực tiếp</v>
      </c>
      <c r="C50" s="523" t="str">
        <f>L_CViec!AB49</f>
        <v>Hồ sơ</v>
      </c>
      <c r="D50" s="1106">
        <f>L_CViec!AA49</f>
        <v>1</v>
      </c>
      <c r="E50" s="523" t="str">
        <f>L_CViec!AC49</f>
        <v>1KS3</v>
      </c>
      <c r="F50" s="521" t="str">
        <f>L_CViec!AD49</f>
        <v>1-3</v>
      </c>
      <c r="G50" s="955">
        <f>L_CViec!AE49</f>
        <v>0.05</v>
      </c>
      <c r="H50" s="1107">
        <f>L_CViec!AF49</f>
        <v>333450</v>
      </c>
      <c r="I50" s="294">
        <f t="shared" si="2"/>
        <v>16672.5</v>
      </c>
      <c r="J50" s="1065">
        <f>$D50*$G50*L_CBac!$J$68</f>
        <v>1278.2250000000001</v>
      </c>
      <c r="K50" s="1065">
        <f>$D50*$G50*L_CBac!$J$69</f>
        <v>1403.846153846154</v>
      </c>
      <c r="M50" s="483"/>
      <c r="N50" s="118"/>
    </row>
    <row r="51" spans="1:14" s="471" customFormat="1">
      <c r="A51" s="523" t="str">
        <f>L_CViec!A50</f>
        <v>13.2</v>
      </c>
      <c r="B51" s="522" t="str">
        <f>L_CViec!B50</f>
        <v>Theo hình thức trực tuyến</v>
      </c>
      <c r="C51" s="523" t="str">
        <f>L_CViec!AB50</f>
        <v>Hồ sơ</v>
      </c>
      <c r="D51" s="1106">
        <f>L_CViec!AA50</f>
        <v>1</v>
      </c>
      <c r="E51" s="523" t="str">
        <f>L_CViec!AC50</f>
        <v>1KS3</v>
      </c>
      <c r="F51" s="521" t="str">
        <f>L_CViec!AD50</f>
        <v>1-3</v>
      </c>
      <c r="G51" s="955">
        <f>L_CViec!AE50</f>
        <v>0.04</v>
      </c>
      <c r="H51" s="1107">
        <f>L_CViec!AF50</f>
        <v>333450</v>
      </c>
      <c r="I51" s="903">
        <f t="shared" si="2"/>
        <v>13338</v>
      </c>
      <c r="J51" s="1065">
        <f>$D51*$G51*L_CBac!$J$68</f>
        <v>1022.58</v>
      </c>
      <c r="K51" s="1065">
        <f>$D51*$G51*L_CBac!$J$69</f>
        <v>1123.0769230769231</v>
      </c>
      <c r="M51" s="900"/>
      <c r="N51" s="901"/>
    </row>
    <row r="52" spans="1:14" s="85" customFormat="1">
      <c r="A52" s="523" t="str">
        <f>L_CViec!A51</f>
        <v>14</v>
      </c>
      <c r="B52" s="522" t="str">
        <f>L_CViec!B51</f>
        <v>Quyết định hình thức sử dụng đất đối với tổ chức</v>
      </c>
      <c r="C52" s="523" t="str">
        <f>L_CViec!AB51</f>
        <v>Hồ sơ</v>
      </c>
      <c r="D52" s="1106">
        <f>L_CViec!AA51</f>
        <v>1</v>
      </c>
      <c r="E52" s="523" t="str">
        <f>L_CViec!AC51</f>
        <v>1KS3</v>
      </c>
      <c r="F52" s="521" t="str">
        <f>L_CViec!AD51</f>
        <v>1-3</v>
      </c>
      <c r="G52" s="955">
        <f>L_CViec!AE51</f>
        <v>0.05</v>
      </c>
      <c r="H52" s="1107">
        <f>L_CViec!AF51</f>
        <v>333450</v>
      </c>
      <c r="I52" s="294">
        <f t="shared" si="2"/>
        <v>16672.5</v>
      </c>
      <c r="J52" s="1065">
        <f>$D52*$G52*L_CBac!$J$68</f>
        <v>1278.2250000000001</v>
      </c>
      <c r="K52" s="1065">
        <f>$D52*$G52*L_CBac!$J$69</f>
        <v>1403.846153846154</v>
      </c>
      <c r="M52" s="483"/>
      <c r="N52" s="118"/>
    </row>
    <row r="53" spans="1:14" s="471" customFormat="1" ht="38.25">
      <c r="A53" s="523" t="str">
        <f>L_CViec!A52</f>
        <v>15</v>
      </c>
      <c r="B53" s="522" t="str">
        <f>L_CViec!B52</f>
        <v>Ban hành Thông báo xác nhận kết quả đăng ký đất đai đối với trường hợp không có nhu cầu hoặc không đủ điều kiện cấp Giấy chứng nhận</v>
      </c>
      <c r="C53" s="523" t="str">
        <f>L_CViec!AB52</f>
        <v>Hồ sơ</v>
      </c>
      <c r="D53" s="1106">
        <f>L_CViec!AA52</f>
        <v>1</v>
      </c>
      <c r="E53" s="523" t="str">
        <f>L_CViec!AC52</f>
        <v>1KS3</v>
      </c>
      <c r="F53" s="521" t="str">
        <f>L_CViec!AD52</f>
        <v>1-3</v>
      </c>
      <c r="G53" s="955">
        <f>L_CViec!AE52</f>
        <v>0.05</v>
      </c>
      <c r="H53" s="1107">
        <f>L_CViec!AF52</f>
        <v>333450</v>
      </c>
      <c r="I53" s="294">
        <f t="shared" si="2"/>
        <v>16672.5</v>
      </c>
      <c r="J53" s="1065">
        <f>$D53*$G53*L_CBac!$J$68</f>
        <v>1278.2250000000001</v>
      </c>
      <c r="K53" s="1065">
        <f>$D53*$G53*L_CBac!$J$69</f>
        <v>1403.846153846154</v>
      </c>
      <c r="M53" s="900"/>
      <c r="N53" s="901"/>
    </row>
    <row r="54" spans="1:14" s="85" customFormat="1" ht="38.25">
      <c r="A54" s="523" t="str">
        <f>L_CViec!A53</f>
        <v>16</v>
      </c>
      <c r="B54" s="522" t="str">
        <f>L_CViec!B53</f>
        <v>Chuyển Thông báo xác nhận kết quả đăng ký đất đai đến Bộ phận một cửa hoặc chuyển Giấy chứng nhận thông qua dịch vụ bưu chính công ích để trao cho người sử dụng đất.</v>
      </c>
      <c r="C54" s="523" t="str">
        <f>L_CViec!AB53</f>
        <v>Hồ sơ</v>
      </c>
      <c r="D54" s="1106">
        <f>L_CViec!AA53</f>
        <v>1</v>
      </c>
      <c r="E54" s="523" t="str">
        <f>L_CViec!AC53</f>
        <v>1KS1</v>
      </c>
      <c r="F54" s="521" t="str">
        <f>L_CViec!AD53</f>
        <v>1-3</v>
      </c>
      <c r="G54" s="955">
        <f>L_CViec!AE53</f>
        <v>0.02</v>
      </c>
      <c r="H54" s="1107">
        <f>L_CViec!AF53</f>
        <v>260091</v>
      </c>
      <c r="I54" s="294">
        <f t="shared" si="2"/>
        <v>5201.82</v>
      </c>
      <c r="J54" s="1065">
        <f>$D54*$G54*L_CBac!$J$68</f>
        <v>511.29</v>
      </c>
      <c r="K54" s="1065">
        <f>$D54*$G54*L_CBac!$J$69</f>
        <v>561.53846153846155</v>
      </c>
      <c r="M54" s="483"/>
      <c r="N54" s="118"/>
    </row>
    <row r="55" spans="1:14" s="85" customFormat="1" ht="30.75" customHeight="1">
      <c r="A55" s="523" t="str">
        <f>L_CViec!A54</f>
        <v>17</v>
      </c>
      <c r="B55" s="522" t="str">
        <f>L_CViec!B54</f>
        <v>Chuyển hồ sơ đến Văn phòng đăng ký đất đai để cập nhật, chỉnh lý hồ sơ địa chính, cơ sở dữ liệu đất đai.</v>
      </c>
      <c r="C55" s="523" t="str">
        <f>L_CViec!AB54</f>
        <v>Hồ sơ</v>
      </c>
      <c r="D55" s="1106">
        <f>L_CViec!AA54</f>
        <v>1</v>
      </c>
      <c r="E55" s="523" t="str">
        <f>L_CViec!AC54</f>
        <v>1KS1</v>
      </c>
      <c r="F55" s="521" t="str">
        <f>L_CViec!AD54</f>
        <v>1-3</v>
      </c>
      <c r="G55" s="955">
        <f>L_CViec!AE54</f>
        <v>0.02</v>
      </c>
      <c r="H55" s="1107">
        <f>L_CViec!AF54</f>
        <v>260091</v>
      </c>
      <c r="I55" s="294">
        <f t="shared" si="2"/>
        <v>5201.82</v>
      </c>
      <c r="J55" s="1065">
        <f>$D55*$G55*L_CBac!$J$68</f>
        <v>511.29</v>
      </c>
      <c r="K55" s="1065">
        <f>$D55*$G55*L_CBac!$J$69</f>
        <v>561.53846153846155</v>
      </c>
      <c r="M55" s="483"/>
      <c r="N55" s="118"/>
    </row>
    <row r="56" spans="1:14" s="111" customFormat="1" ht="38.25">
      <c r="A56" s="523" t="str">
        <f>L_CViec!A55</f>
        <v>18</v>
      </c>
      <c r="B56" s="522" t="str">
        <f>L_CViec!B55</f>
        <v>Lập, gửi Phiếu chuyển thông tin xác định nghĩa vụ tài chính đối với trường hợp có nhu cầu cấp Giấy chứng nhận và đủ điều kiện</v>
      </c>
      <c r="C56" s="523">
        <f>L_CViec!AB55</f>
        <v>0</v>
      </c>
      <c r="D56" s="1106">
        <f>L_CViec!AA55</f>
        <v>0</v>
      </c>
      <c r="E56" s="523">
        <f>L_CViec!AC55</f>
        <v>0</v>
      </c>
      <c r="F56" s="521">
        <f>L_CViec!AD55</f>
        <v>0</v>
      </c>
      <c r="G56" s="955">
        <f>L_CViec!AE55</f>
        <v>0</v>
      </c>
      <c r="H56" s="1107">
        <f>L_CViec!AF55</f>
        <v>0</v>
      </c>
      <c r="I56" s="294">
        <f t="shared" si="2"/>
        <v>0</v>
      </c>
      <c r="J56" s="1065">
        <f>$D56*$G56*L_CBac!$J$68</f>
        <v>0</v>
      </c>
      <c r="K56" s="1065">
        <f>$D56*$G56*L_CBac!$J$69</f>
        <v>0</v>
      </c>
      <c r="M56" s="483"/>
      <c r="N56" s="118"/>
    </row>
    <row r="57" spans="1:14" s="111" customFormat="1" ht="30.75" customHeight="1">
      <c r="A57" s="523" t="str">
        <f>L_CViec!A56</f>
        <v>18.1</v>
      </c>
      <c r="B57" s="522" t="str">
        <f>L_CViec!B56</f>
        <v>Chuyển thông tin theo hình thức liên thông</v>
      </c>
      <c r="C57" s="523" t="str">
        <f>L_CViec!AB56</f>
        <v>Hồ sơ</v>
      </c>
      <c r="D57" s="1106">
        <f>L_CViec!AA56</f>
        <v>1</v>
      </c>
      <c r="E57" s="523" t="str">
        <f>L_CViec!AC56</f>
        <v>1KS3</v>
      </c>
      <c r="F57" s="521" t="str">
        <f>L_CViec!AD56</f>
        <v>1-3</v>
      </c>
      <c r="G57" s="955">
        <f>L_CViec!AE56</f>
        <v>0.05</v>
      </c>
      <c r="H57" s="1107">
        <f>L_CViec!AF56</f>
        <v>333450</v>
      </c>
      <c r="I57" s="294">
        <f t="shared" si="2"/>
        <v>16672.5</v>
      </c>
      <c r="J57" s="1065">
        <f>$D57*$G57*L_CBac!$J$68</f>
        <v>1278.2250000000001</v>
      </c>
      <c r="K57" s="1065">
        <f>$D57*$G57*L_CBac!$J$69</f>
        <v>1403.846153846154</v>
      </c>
      <c r="M57" s="483"/>
      <c r="N57" s="118"/>
    </row>
    <row r="58" spans="1:14" s="902" customFormat="1" ht="19.5" customHeight="1">
      <c r="A58" s="523" t="str">
        <f>L_CViec!A57</f>
        <v>18.2</v>
      </c>
      <c r="B58" s="522" t="str">
        <f>L_CViec!B57</f>
        <v>Chuyển thông tin theo hình thức trực tiếp</v>
      </c>
      <c r="C58" s="523" t="str">
        <f>L_CViec!AB57</f>
        <v>Hồ sơ</v>
      </c>
      <c r="D58" s="1106">
        <f>L_CViec!AA57</f>
        <v>1</v>
      </c>
      <c r="E58" s="523" t="str">
        <f>L_CViec!AC57</f>
        <v>1KS3</v>
      </c>
      <c r="F58" s="521" t="str">
        <f>L_CViec!AD57</f>
        <v>1-3</v>
      </c>
      <c r="G58" s="955">
        <f>L_CViec!AE57</f>
        <v>0.06</v>
      </c>
      <c r="H58" s="1107">
        <f>L_CViec!AF57</f>
        <v>333450</v>
      </c>
      <c r="I58" s="903">
        <f>G58*H58</f>
        <v>20007</v>
      </c>
      <c r="J58" s="1065">
        <f>$D58*$G58*L_CBac!$J$68</f>
        <v>1533.87</v>
      </c>
      <c r="K58" s="1065">
        <f>$D58*$G58*L_CBac!$J$69</f>
        <v>1684.6153846153845</v>
      </c>
      <c r="M58" s="900"/>
      <c r="N58" s="901"/>
    </row>
    <row r="59" spans="1:14" s="85" customFormat="1" ht="37.5" customHeight="1">
      <c r="A59" s="523">
        <f>L_CViec!A58</f>
        <v>19</v>
      </c>
      <c r="B59" s="522" t="str">
        <f>L_CViec!B58</f>
        <v>Nhận thông báo hoàn thành nghĩa vụ tài chính từ cơ quan thuế hoặc được ghi nợ nghĩa vụ tài chính</v>
      </c>
      <c r="C59" s="523">
        <f>L_CViec!AB58</f>
        <v>0</v>
      </c>
      <c r="D59" s="1106">
        <f>L_CViec!AA58</f>
        <v>0</v>
      </c>
      <c r="E59" s="523">
        <f>L_CViec!AC58</f>
        <v>0</v>
      </c>
      <c r="F59" s="521">
        <f>L_CViec!AD58</f>
        <v>0</v>
      </c>
      <c r="G59" s="955">
        <f>L_CViec!AE58</f>
        <v>0</v>
      </c>
      <c r="H59" s="1107">
        <f>L_CViec!AF58</f>
        <v>0</v>
      </c>
      <c r="I59" s="294"/>
      <c r="J59" s="1065"/>
      <c r="K59" s="1065"/>
      <c r="M59" s="483"/>
      <c r="N59" s="118"/>
    </row>
    <row r="60" spans="1:14" s="111" customFormat="1" ht="33" customHeight="1">
      <c r="A60" s="523">
        <f>L_CViec!A59</f>
        <v>19.100000000000001</v>
      </c>
      <c r="B60" s="522" t="str">
        <f>L_CViec!B59</f>
        <v>Chuyển thông tin theo hình thức trực tiếp</v>
      </c>
      <c r="C60" s="523" t="str">
        <f>L_CViec!AB59</f>
        <v>Hồ sơ</v>
      </c>
      <c r="D60" s="1106">
        <f>L_CViec!AA59</f>
        <v>1</v>
      </c>
      <c r="E60" s="523" t="str">
        <f>L_CViec!AC59</f>
        <v>1KS2</v>
      </c>
      <c r="F60" s="521" t="str">
        <f>L_CViec!AD59</f>
        <v>1-3</v>
      </c>
      <c r="G60" s="955">
        <f>L_CViec!AE59</f>
        <v>0.06</v>
      </c>
      <c r="H60" s="1107">
        <f>L_CViec!AF59</f>
        <v>296770.5</v>
      </c>
      <c r="I60" s="294">
        <f t="shared" ref="I60:I65" si="3">G60*H60</f>
        <v>17806.23</v>
      </c>
      <c r="J60" s="1065">
        <f>$D60*$G60*L_CBac!$J$68</f>
        <v>1533.87</v>
      </c>
      <c r="K60" s="1065">
        <f>$D60*$G60*L_CBac!$J$69</f>
        <v>1684.6153846153845</v>
      </c>
      <c r="M60" s="483"/>
      <c r="N60" s="118"/>
    </row>
    <row r="61" spans="1:14" s="111" customFormat="1" ht="33.75" customHeight="1">
      <c r="A61" s="523">
        <f>L_CViec!A60</f>
        <v>19.2</v>
      </c>
      <c r="B61" s="522" t="str">
        <f>L_CViec!B60</f>
        <v>Chuyển thông tin theo hình thức liên thông</v>
      </c>
      <c r="C61" s="523" t="str">
        <f>L_CViec!AB60</f>
        <v>Hồ sơ</v>
      </c>
      <c r="D61" s="1106">
        <f>L_CViec!AA60</f>
        <v>1</v>
      </c>
      <c r="E61" s="523" t="str">
        <f>L_CViec!AC60</f>
        <v>1KS2</v>
      </c>
      <c r="F61" s="521" t="str">
        <f>L_CViec!AD60</f>
        <v>1-3</v>
      </c>
      <c r="G61" s="955">
        <f>L_CViec!AE60</f>
        <v>0.05</v>
      </c>
      <c r="H61" s="1107">
        <f>L_CViec!AF60</f>
        <v>296770.5</v>
      </c>
      <c r="I61" s="294">
        <f t="shared" si="3"/>
        <v>14838.525000000001</v>
      </c>
      <c r="J61" s="1065">
        <f>$D61*$G61*L_CBac!$J$68</f>
        <v>1278.2250000000001</v>
      </c>
      <c r="K61" s="1065">
        <f>$D61*$G61*L_CBac!$J$69</f>
        <v>1403.846153846154</v>
      </c>
      <c r="M61" s="483"/>
      <c r="N61" s="118"/>
    </row>
    <row r="62" spans="1:14" s="85" customFormat="1" ht="25.5">
      <c r="A62" s="523" t="str">
        <f>L_CViec!A61</f>
        <v>20</v>
      </c>
      <c r="B62" s="522" t="str">
        <f>L_CViec!B61</f>
        <v xml:space="preserve">Nhập thông tin về nghĩa vụ tài chính, đăng ký vào hồ sơ địa chính </v>
      </c>
      <c r="C62" s="523" t="str">
        <f>L_CViec!AB61</f>
        <v>Thửa</v>
      </c>
      <c r="D62" s="1106">
        <f>L_CViec!AA61</f>
        <v>1</v>
      </c>
      <c r="E62" s="523" t="str">
        <f>L_CViec!AC61</f>
        <v>1KS3</v>
      </c>
      <c r="F62" s="521" t="str">
        <f>L_CViec!AD61</f>
        <v>1-3</v>
      </c>
      <c r="G62" s="955">
        <f>L_CViec!AE61</f>
        <v>0.03</v>
      </c>
      <c r="H62" s="1107">
        <f>L_CViec!AF61</f>
        <v>333450</v>
      </c>
      <c r="I62" s="294">
        <f t="shared" si="3"/>
        <v>10003.5</v>
      </c>
      <c r="J62" s="1065">
        <f>$D62*$G62*L_CBac!$J$68</f>
        <v>766.93499999999995</v>
      </c>
      <c r="K62" s="1065">
        <f>$D62*$G62*L_CBac!$J$69</f>
        <v>842.30769230769226</v>
      </c>
      <c r="M62" s="483"/>
      <c r="N62" s="118"/>
    </row>
    <row r="63" spans="1:14" s="111" customFormat="1">
      <c r="A63" s="523" t="str">
        <f>L_CViec!A62</f>
        <v>21</v>
      </c>
      <c r="B63" s="522" t="str">
        <f>L_CViec!B62</f>
        <v>Chuẩn bị hợp đồng cho thuê đất (nếu có)</v>
      </c>
      <c r="C63" s="523" t="str">
        <f>L_CViec!AB62</f>
        <v>Hồ sơ</v>
      </c>
      <c r="D63" s="1106">
        <f>L_CViec!AA62</f>
        <v>1</v>
      </c>
      <c r="E63" s="523" t="str">
        <f>L_CViec!AC62</f>
        <v>1KS3</v>
      </c>
      <c r="F63" s="521" t="str">
        <f>L_CViec!AD62</f>
        <v>1-3</v>
      </c>
      <c r="G63" s="955">
        <f>L_CViec!AE62</f>
        <v>0.2</v>
      </c>
      <c r="H63" s="1107">
        <f>L_CViec!AF62</f>
        <v>333450</v>
      </c>
      <c r="I63" s="294">
        <f t="shared" si="3"/>
        <v>66690</v>
      </c>
      <c r="J63" s="1065">
        <f>$D63*$G63*L_CBac!$J$68</f>
        <v>5112.9000000000005</v>
      </c>
      <c r="K63" s="1065">
        <f>$D63*$G63*L_CBac!$J$69</f>
        <v>5615.3846153846162</v>
      </c>
      <c r="M63" s="483"/>
      <c r="N63" s="118"/>
    </row>
    <row r="64" spans="1:14" s="111" customFormat="1">
      <c r="A64" s="523" t="str">
        <f>L_CViec!A63</f>
        <v>22</v>
      </c>
      <c r="B64" s="522" t="str">
        <f>L_CViec!B63</f>
        <v>In GCN</v>
      </c>
      <c r="C64" s="523">
        <f>L_CViec!AB63</f>
        <v>0</v>
      </c>
      <c r="D64" s="1106">
        <f>L_CViec!AA63</f>
        <v>0</v>
      </c>
      <c r="E64" s="523">
        <f>L_CViec!AC63</f>
        <v>0</v>
      </c>
      <c r="F64" s="521">
        <f>L_CViec!AD63</f>
        <v>0</v>
      </c>
      <c r="G64" s="955">
        <f>L_CViec!AE63</f>
        <v>0</v>
      </c>
      <c r="H64" s="1107">
        <f>L_CViec!AF63</f>
        <v>0</v>
      </c>
      <c r="I64" s="294">
        <f t="shared" si="3"/>
        <v>0</v>
      </c>
      <c r="J64" s="1065">
        <f>$D64*$G64*L_CBac!$J$68</f>
        <v>0</v>
      </c>
      <c r="K64" s="1065">
        <f>$D64*$G64*L_CBac!$J$69</f>
        <v>0</v>
      </c>
      <c r="M64" s="483"/>
      <c r="N64" s="118"/>
    </row>
    <row r="65" spans="1:14" s="85" customFormat="1" ht="33.75" customHeight="1">
      <c r="A65" s="523" t="str">
        <f>L_CViec!A64</f>
        <v>22.1</v>
      </c>
      <c r="B65" s="522" t="str">
        <f>L_CViec!B64</f>
        <v>Trực tiếp từ cơ sở dữ liệu dạng số</v>
      </c>
      <c r="C65" s="523" t="str">
        <f>L_CViec!AB64</f>
        <v>GCN</v>
      </c>
      <c r="D65" s="1106">
        <f>L_CViec!AA64</f>
        <v>1</v>
      </c>
      <c r="E65" s="523" t="str">
        <f>L_CViec!AC64</f>
        <v>1KS2</v>
      </c>
      <c r="F65" s="521" t="str">
        <f>L_CViec!AD64</f>
        <v>1-3</v>
      </c>
      <c r="G65" s="955">
        <f>L_CViec!AE64</f>
        <v>0.05</v>
      </c>
      <c r="H65" s="1107">
        <f>L_CViec!AF64</f>
        <v>296770.5</v>
      </c>
      <c r="I65" s="294">
        <f t="shared" si="3"/>
        <v>14838.525000000001</v>
      </c>
      <c r="J65" s="1065">
        <f>$D65*$G65*L_CBac!$J$68</f>
        <v>1278.2250000000001</v>
      </c>
      <c r="K65" s="1065">
        <f>$D65*$G65*L_CBac!$J$69</f>
        <v>1403.846153846154</v>
      </c>
      <c r="M65" s="483"/>
      <c r="N65" s="118"/>
    </row>
    <row r="66" spans="1:14" s="85" customFormat="1" ht="24" customHeight="1">
      <c r="A66" s="523" t="str">
        <f>L_CViec!A65</f>
        <v>22.2</v>
      </c>
      <c r="B66" s="522" t="str">
        <f>L_CViec!B65</f>
        <v>Đối với những nơi chưa có bản đồ dạng số</v>
      </c>
      <c r="C66" s="523" t="str">
        <f>L_CViec!AB65</f>
        <v>GCN</v>
      </c>
      <c r="D66" s="1106">
        <f>L_CViec!AA65</f>
        <v>1</v>
      </c>
      <c r="E66" s="523" t="str">
        <f>L_CViec!AC65</f>
        <v>1KS2</v>
      </c>
      <c r="F66" s="521" t="str">
        <f>L_CViec!AD65</f>
        <v>1-3</v>
      </c>
      <c r="G66" s="955">
        <f>L_CViec!AE65</f>
        <v>0.1</v>
      </c>
      <c r="H66" s="1107">
        <f>L_CViec!AF65</f>
        <v>296770.5</v>
      </c>
      <c r="I66" s="294">
        <f t="shared" ref="I66:I73" si="4">G66*H66</f>
        <v>29677.050000000003</v>
      </c>
      <c r="J66" s="1065">
        <f>$D66*$G66*L_CBac!$J$68</f>
        <v>2556.4500000000003</v>
      </c>
      <c r="K66" s="1065">
        <f>$D66*$G66*L_CBac!$J$69</f>
        <v>2807.6923076923081</v>
      </c>
      <c r="M66" s="483"/>
      <c r="N66" s="118"/>
    </row>
    <row r="67" spans="1:14" s="85" customFormat="1">
      <c r="A67" s="523" t="str">
        <f>L_CViec!A66</f>
        <v>23</v>
      </c>
      <c r="B67" s="522" t="str">
        <f>L_CViec!B66</f>
        <v>Cấp Giấy chứng nhận</v>
      </c>
      <c r="C67" s="523" t="str">
        <f>L_CViec!AB66</f>
        <v>Hồ sơ</v>
      </c>
      <c r="D67" s="1106">
        <f>L_CViec!AA66</f>
        <v>1</v>
      </c>
      <c r="E67" s="523" t="str">
        <f>L_CViec!AC66</f>
        <v>1KS3</v>
      </c>
      <c r="F67" s="521" t="str">
        <f>L_CViec!AD66</f>
        <v>1-3</v>
      </c>
      <c r="G67" s="955">
        <f>L_CViec!AE66</f>
        <v>0.05</v>
      </c>
      <c r="H67" s="1107">
        <f>L_CViec!AF66</f>
        <v>333450</v>
      </c>
      <c r="I67" s="294">
        <f t="shared" si="4"/>
        <v>16672.5</v>
      </c>
      <c r="J67" s="1065">
        <f>$D67*$G67*L_CBac!$J$68</f>
        <v>1278.2250000000001</v>
      </c>
      <c r="K67" s="1065">
        <f>$D67*$G67*L_CBac!$J$69</f>
        <v>1403.846153846154</v>
      </c>
      <c r="M67" s="483"/>
      <c r="N67" s="118"/>
    </row>
    <row r="68" spans="1:14" s="111" customFormat="1">
      <c r="A68" s="523" t="str">
        <f>L_CViec!A67</f>
        <v>24</v>
      </c>
      <c r="B68" s="522" t="str">
        <f>L_CViec!B67</f>
        <v>Nhập bổ sung thông tin dữ liệu về Giấy chứng nhận đã cấp</v>
      </c>
      <c r="C68" s="523" t="str">
        <f>L_CViec!AB67</f>
        <v>Thửa</v>
      </c>
      <c r="D68" s="1106">
        <f>L_CViec!AA67</f>
        <v>1</v>
      </c>
      <c r="E68" s="523" t="str">
        <f>L_CViec!AC67</f>
        <v>1KS3</v>
      </c>
      <c r="F68" s="521" t="str">
        <f>L_CViec!AD67</f>
        <v>1-3</v>
      </c>
      <c r="G68" s="955">
        <f>L_CViec!AE67</f>
        <v>3.3000000000000002E-2</v>
      </c>
      <c r="H68" s="1107">
        <f>L_CViec!AF67</f>
        <v>333450</v>
      </c>
      <c r="I68" s="294">
        <f t="shared" si="4"/>
        <v>11003.85</v>
      </c>
      <c r="J68" s="1065">
        <f>$D68*$G68*L_CBac!$J$68</f>
        <v>843.62850000000003</v>
      </c>
      <c r="K68" s="1065">
        <f>$D68*$G68*L_CBac!$J$69</f>
        <v>926.53846153846166</v>
      </c>
      <c r="M68" s="483"/>
      <c r="N68" s="118"/>
    </row>
    <row r="69" spans="1:14" s="111" customFormat="1">
      <c r="A69" s="523" t="str">
        <f>L_CViec!A68</f>
        <v>25</v>
      </c>
      <c r="B69" s="522" t="str">
        <f>L_CViec!B68</f>
        <v>Quét giấy tờ pháp lý và xử lý tập tin</v>
      </c>
      <c r="C69" s="523">
        <f>L_CViec!AB68</f>
        <v>0</v>
      </c>
      <c r="D69" s="1106">
        <f>L_CViec!AA68</f>
        <v>0</v>
      </c>
      <c r="E69" s="523">
        <f>L_CViec!AC68</f>
        <v>0</v>
      </c>
      <c r="F69" s="521">
        <f>L_CViec!AD68</f>
        <v>0</v>
      </c>
      <c r="G69" s="955">
        <f>L_CViec!AE68</f>
        <v>0</v>
      </c>
      <c r="H69" s="1107">
        <f>L_CViec!AF68</f>
        <v>0</v>
      </c>
      <c r="I69" s="294">
        <f t="shared" si="4"/>
        <v>0</v>
      </c>
      <c r="J69" s="1065">
        <f>$D69*$G69*L_CBac!$J$68</f>
        <v>0</v>
      </c>
      <c r="K69" s="1065">
        <f>$D69*$G69*L_CBac!$J$69</f>
        <v>0</v>
      </c>
      <c r="M69" s="483"/>
      <c r="N69" s="118"/>
    </row>
    <row r="70" spans="1:14" s="85" customFormat="1" ht="25.5">
      <c r="A70" s="523" t="str">
        <f>L_CViec!A69</f>
        <v>25.1</v>
      </c>
      <c r="B70" s="522" t="str">
        <f>L_CViec!B69</f>
        <v>Quét giấy tờ pháp lý về quyền sử dụng đất, quyền sở hữu nhà ở và tài sản khác gắn liền với đất</v>
      </c>
      <c r="C70" s="523">
        <f>L_CViec!AB69</f>
        <v>0</v>
      </c>
      <c r="D70" s="1106">
        <f>L_CViec!AA69</f>
        <v>0</v>
      </c>
      <c r="E70" s="523">
        <f>L_CViec!AC69</f>
        <v>0</v>
      </c>
      <c r="F70" s="521">
        <f>L_CViec!AD69</f>
        <v>0</v>
      </c>
      <c r="G70" s="955">
        <f>L_CViec!AE69</f>
        <v>0</v>
      </c>
      <c r="H70" s="1107">
        <f>L_CViec!AF69</f>
        <v>0</v>
      </c>
      <c r="I70" s="294">
        <f t="shared" si="4"/>
        <v>0</v>
      </c>
      <c r="J70" s="1065">
        <f>$D70*$G70*L_CBac!$J$68</f>
        <v>0</v>
      </c>
      <c r="K70" s="1065">
        <f>$D70*$G70*L_CBac!$J$69</f>
        <v>0</v>
      </c>
      <c r="M70" s="483"/>
      <c r="N70" s="118"/>
    </row>
    <row r="71" spans="1:14" s="85" customFormat="1">
      <c r="A71" s="523" t="str">
        <f>L_CViec!A70</f>
        <v>25.1.1</v>
      </c>
      <c r="B71" s="522" t="str">
        <f>L_CViec!B70</f>
        <v>Quét trang A3</v>
      </c>
      <c r="C71" s="523" t="str">
        <f>L_CViec!AB70</f>
        <v>Trang</v>
      </c>
      <c r="D71" s="1106">
        <f>L_CViec!AA70</f>
        <v>1</v>
      </c>
      <c r="E71" s="523" t="str">
        <f>L_CViec!AC70</f>
        <v>1KS1</v>
      </c>
      <c r="F71" s="521" t="str">
        <f>L_CViec!AD70</f>
        <v>1-3</v>
      </c>
      <c r="G71" s="955">
        <f>L_CViec!AE70</f>
        <v>1.6E-2</v>
      </c>
      <c r="H71" s="1107">
        <f>L_CViec!AF70</f>
        <v>260091</v>
      </c>
      <c r="I71" s="294">
        <f t="shared" si="4"/>
        <v>4161.4560000000001</v>
      </c>
      <c r="J71" s="1065">
        <f>$D71*$G71*L_CBac!$J$68</f>
        <v>409.03199999999998</v>
      </c>
      <c r="K71" s="1065">
        <f>$D71*$G71*L_CBac!$J$69</f>
        <v>449.23076923076928</v>
      </c>
      <c r="M71" s="483"/>
      <c r="N71" s="118"/>
    </row>
    <row r="72" spans="1:14" s="471" customFormat="1">
      <c r="A72" s="523" t="str">
        <f>L_CViec!A71</f>
        <v>25.1.2</v>
      </c>
      <c r="B72" s="522" t="str">
        <f>L_CViec!B71</f>
        <v>Quét trang A4</v>
      </c>
      <c r="C72" s="523" t="str">
        <f>L_CViec!AB71</f>
        <v>Trang</v>
      </c>
      <c r="D72" s="1106">
        <f>L_CViec!AA71</f>
        <v>1</v>
      </c>
      <c r="E72" s="523" t="str">
        <f>L_CViec!AC71</f>
        <v>1KS1</v>
      </c>
      <c r="F72" s="521" t="str">
        <f>L_CViec!AD71</f>
        <v>1-3</v>
      </c>
      <c r="G72" s="955">
        <f>L_CViec!AE71</f>
        <v>8.0000000000000002E-3</v>
      </c>
      <c r="H72" s="1107">
        <f>L_CViec!AF71</f>
        <v>260091</v>
      </c>
      <c r="I72" s="294">
        <f t="shared" si="4"/>
        <v>2080.7280000000001</v>
      </c>
      <c r="J72" s="1065">
        <f>$D72*$G72*L_CBac!$J$68</f>
        <v>204.51599999999999</v>
      </c>
      <c r="K72" s="1065">
        <f>$D72*$G72*L_CBac!$J$69</f>
        <v>224.61538461538464</v>
      </c>
      <c r="M72" s="900"/>
      <c r="N72" s="901"/>
    </row>
    <row r="73" spans="1:14" s="471" customFormat="1" ht="25.5">
      <c r="A73" s="523" t="str">
        <f>L_CViec!A72</f>
        <v>26</v>
      </c>
      <c r="B73" s="522" t="str">
        <f>L_CViec!B72</f>
        <v>Xử lý các tệp tin quét thành tệp (File) hồ sơ quét dạng số của thửa đất, lưu trữ dưới khuôn dạng tệp tin PDF</v>
      </c>
      <c r="C73" s="523" t="str">
        <f>L_CViec!AB72</f>
        <v>Trang</v>
      </c>
      <c r="D73" s="1106">
        <f>L_CViec!AA72</f>
        <v>1</v>
      </c>
      <c r="E73" s="523" t="str">
        <f>L_CViec!AC72</f>
        <v>1KS1</v>
      </c>
      <c r="F73" s="521" t="str">
        <f>L_CViec!AD72</f>
        <v>1-3</v>
      </c>
      <c r="G73" s="955">
        <f>L_CViec!AE72</f>
        <v>4.0000000000000001E-3</v>
      </c>
      <c r="H73" s="1107">
        <f>L_CViec!AF72</f>
        <v>260091</v>
      </c>
      <c r="I73" s="294">
        <f t="shared" si="4"/>
        <v>1040.364</v>
      </c>
      <c r="J73" s="1065">
        <f>$D73*$G73*L_CBac!$J$68</f>
        <v>102.258</v>
      </c>
      <c r="K73" s="1065">
        <f>$D73*$G73*L_CBac!$J$69</f>
        <v>112.30769230769232</v>
      </c>
      <c r="M73" s="900"/>
      <c r="N73" s="901"/>
    </row>
    <row r="74" spans="1:14" s="85" customFormat="1" ht="24" customHeight="1">
      <c r="A74" s="523" t="str">
        <f>L_CViec!A73</f>
        <v>27</v>
      </c>
      <c r="B74" s="522" t="str">
        <f>L_CViec!B73</f>
        <v>Tạo liên kết hồ sơ quét dạng số với thửa đất trong cơ sở dữ liệu</v>
      </c>
      <c r="C74" s="523" t="str">
        <f>L_CViec!AB73</f>
        <v>Thửa</v>
      </c>
      <c r="D74" s="1106">
        <f>L_CViec!AA73</f>
        <v>1</v>
      </c>
      <c r="E74" s="523" t="str">
        <f>L_CViec!AC73</f>
        <v>1KS1</v>
      </c>
      <c r="F74" s="521" t="str">
        <f>L_CViec!AD73</f>
        <v>1-3</v>
      </c>
      <c r="G74" s="955">
        <f>L_CViec!AE73</f>
        <v>0.01</v>
      </c>
      <c r="H74" s="1107">
        <f>L_CViec!AF73</f>
        <v>260091</v>
      </c>
      <c r="I74" s="294">
        <f>G74*H74</f>
        <v>2600.91</v>
      </c>
      <c r="J74" s="1065">
        <f>$D74*$G74*L_CBac!$J$68</f>
        <v>255.64500000000001</v>
      </c>
      <c r="K74" s="1065">
        <f>$D74*$G74*L_CBac!$J$69</f>
        <v>280.76923076923077</v>
      </c>
      <c r="M74" s="483"/>
      <c r="N74" s="118"/>
    </row>
    <row r="75" spans="1:14" s="85" customFormat="1" ht="51" customHeight="1">
      <c r="A75" s="523" t="str">
        <f>L_CViec!A74</f>
        <v>28</v>
      </c>
      <c r="B75" s="522" t="str">
        <f>L_CViec!B74</f>
        <v>Chuyển Giấy chứng nhận đến Bộ phận một cửa để trao cho người sử dụng đất hoặc chuyển Giấy chứng nhận cho người sử dụng đất thông qua dịch vụ bưu chính công ích</v>
      </c>
      <c r="C75" s="523" t="str">
        <f>L_CViec!AB74</f>
        <v>Hồ sơ</v>
      </c>
      <c r="D75" s="1106">
        <f>L_CViec!AA74</f>
        <v>1</v>
      </c>
      <c r="E75" s="523" t="str">
        <f>L_CViec!AC74</f>
        <v>1KS2</v>
      </c>
      <c r="F75" s="521" t="str">
        <f>L_CViec!AD74</f>
        <v>1-3</v>
      </c>
      <c r="G75" s="955">
        <f>L_CViec!AE74</f>
        <v>0.05</v>
      </c>
      <c r="H75" s="1107">
        <f>L_CViec!AF74</f>
        <v>296770.5</v>
      </c>
      <c r="I75" s="294">
        <f>G75*H75</f>
        <v>14838.525000000001</v>
      </c>
      <c r="J75" s="1065">
        <f>$D75*$G75*L_CBac!$J$68</f>
        <v>1278.2250000000001</v>
      </c>
      <c r="K75" s="1065">
        <f>$D75*$G75*L_CBac!$J$69</f>
        <v>1403.846153846154</v>
      </c>
      <c r="M75" s="483"/>
      <c r="N75" s="118"/>
    </row>
    <row r="76" spans="1:14" s="111" customFormat="1" ht="38.25">
      <c r="A76" s="523" t="str">
        <f>L_CViec!A75</f>
        <v>29</v>
      </c>
      <c r="B76" s="522" t="str">
        <f>L_CViec!B75</f>
        <v>Chuyển hồ sơ kèm theo bản sao Giấy chứng nhận đã cấp đến Văn phòng đăng ký đất đai để cập nhật, chỉnh lý hồ sơ địa chính, cơ sở dữ liệu đất đai.</v>
      </c>
      <c r="C76" s="523" t="str">
        <f>L_CViec!AB75</f>
        <v>Hồ sơ</v>
      </c>
      <c r="D76" s="1106">
        <f>L_CViec!AA75</f>
        <v>1</v>
      </c>
      <c r="E76" s="523" t="str">
        <f>L_CViec!AC75</f>
        <v>1KS2</v>
      </c>
      <c r="F76" s="521" t="str">
        <f>L_CViec!AD75</f>
        <v>1-3</v>
      </c>
      <c r="G76" s="955">
        <f>L_CViec!AE75</f>
        <v>0.05</v>
      </c>
      <c r="H76" s="1107">
        <f>L_CViec!AF75</f>
        <v>296770.5</v>
      </c>
      <c r="I76" s="294">
        <f>G76*H76</f>
        <v>14838.525000000001</v>
      </c>
      <c r="J76" s="1065">
        <f>$D76*$G76*L_CBac!$J$68</f>
        <v>1278.2250000000001</v>
      </c>
      <c r="K76" s="1065">
        <f>$D76*$G76*L_CBac!$J$69</f>
        <v>1403.846153846154</v>
      </c>
      <c r="M76" s="483"/>
      <c r="N76" s="118"/>
    </row>
    <row r="77" spans="1:14" s="111" customFormat="1" ht="33" customHeight="1">
      <c r="A77" s="523" t="str">
        <f>L_CViec!A76</f>
        <v>30</v>
      </c>
      <c r="B77" s="522" t="str">
        <f>L_CViec!B76</f>
        <v>Nhận hồ sơ địa chính từ cấp tỉnh gửi về (01 bộ)</v>
      </c>
      <c r="C77" s="523" t="str">
        <f>L_CViec!AB76</f>
        <v>Bộ/xã, phường</v>
      </c>
      <c r="D77" s="1106">
        <f>L_CViec!AA76</f>
        <v>1</v>
      </c>
      <c r="E77" s="523" t="str">
        <f>L_CViec!AC76</f>
        <v>1KS2</v>
      </c>
      <c r="F77" s="521" t="str">
        <f>L_CViec!AD76</f>
        <v>1-3</v>
      </c>
      <c r="G77" s="955">
        <f>L_CViec!AE76</f>
        <v>32</v>
      </c>
      <c r="H77" s="1107">
        <f>L_CViec!AF76</f>
        <v>296770.5</v>
      </c>
      <c r="I77" s="1108">
        <f>G77*H77/20000</f>
        <v>474.83280000000002</v>
      </c>
      <c r="J77" s="1065">
        <f>$D77*$G77*L_CBac!$J$68</f>
        <v>818064</v>
      </c>
      <c r="K77" s="1065">
        <f>$D77*$G77*L_CBac!$J$69</f>
        <v>898461.5384615385</v>
      </c>
      <c r="M77" s="483"/>
      <c r="N77" s="118"/>
    </row>
    <row r="78" spans="1:14" s="86" customFormat="1" ht="26.45" customHeight="1">
      <c r="A78" s="520" t="str">
        <f>L_CViec!A77</f>
        <v>I.2</v>
      </c>
      <c r="B78" s="1425" t="str">
        <f>L_CViec!B77</f>
        <v>CÁC NỘI DUNG THỰC HIỆN TẠI ĐỊA BÀN CẤP TỈNH</v>
      </c>
      <c r="C78" s="1425"/>
      <c r="D78" s="993">
        <f>L_CViec!AA77</f>
        <v>0</v>
      </c>
      <c r="E78" s="993">
        <f>L_CViec!AC77</f>
        <v>0</v>
      </c>
      <c r="F78" s="993">
        <f>L_CViec!AD77</f>
        <v>0</v>
      </c>
      <c r="G78" s="955">
        <f>L_CViec!AE77</f>
        <v>0</v>
      </c>
      <c r="H78" s="1093">
        <f>L_CViec!AF77</f>
        <v>0</v>
      </c>
      <c r="I78" s="1093">
        <f>SUM(I79,I82,I85)</f>
        <v>27768.965737500002</v>
      </c>
      <c r="J78" s="1064">
        <f>SUM(J79,J82,J85)</f>
        <v>4192.5780000000004</v>
      </c>
      <c r="K78" s="1064">
        <f>SUM(K79,K82,K85)</f>
        <v>4604.6153846153848</v>
      </c>
      <c r="M78" s="483"/>
      <c r="N78" s="118"/>
    </row>
    <row r="79" spans="1:14" s="85" customFormat="1" ht="20.25" customHeight="1">
      <c r="A79" s="523" t="str">
        <f>L_CViec!A78</f>
        <v>1</v>
      </c>
      <c r="B79" s="522" t="str">
        <f>L_CViec!B78</f>
        <v>Lập hồ sơ địa chính</v>
      </c>
      <c r="C79" s="523">
        <f>L_CViec!AB78</f>
        <v>0</v>
      </c>
      <c r="D79" s="523">
        <f>L_CViec!AA78</f>
        <v>0</v>
      </c>
      <c r="E79" s="523">
        <f>L_CViec!AC78</f>
        <v>0</v>
      </c>
      <c r="F79" s="523">
        <f>L_CViec!AD78</f>
        <v>0</v>
      </c>
      <c r="G79" s="955">
        <f>L_CViec!AE78</f>
        <v>0</v>
      </c>
      <c r="H79" s="294">
        <f>L_CViec!AF78</f>
        <v>0</v>
      </c>
      <c r="I79" s="294">
        <f>SUM(I80:I81)</f>
        <v>25909.065000000002</v>
      </c>
      <c r="J79" s="1065">
        <f>SUM(J80:J81)</f>
        <v>4090.32</v>
      </c>
      <c r="K79" s="1065">
        <f>SUM(K80:K81)</f>
        <v>4492.3076923076924</v>
      </c>
      <c r="M79" s="483"/>
      <c r="N79" s="118"/>
    </row>
    <row r="80" spans="1:14" s="111" customFormat="1" ht="32.25" customHeight="1">
      <c r="A80" s="526" t="str">
        <f>L_CViec!A79</f>
        <v>1.1</v>
      </c>
      <c r="B80" s="522" t="str">
        <f>L_CViec!B79</f>
        <v>Hoàn thiện BĐĐC và Sổ mục kê đất đai theo kết quả đăng ký, cấp GCN</v>
      </c>
      <c r="C80" s="523" t="str">
        <f>L_CViec!AB79</f>
        <v>Bộ/đĩa</v>
      </c>
      <c r="D80" s="523">
        <f>L_CViec!AA79</f>
        <v>1</v>
      </c>
      <c r="E80" s="523" t="str">
        <f>L_CViec!AC79</f>
        <v>1KS4</v>
      </c>
      <c r="F80" s="523" t="str">
        <f>L_CViec!AD79</f>
        <v>1-3</v>
      </c>
      <c r="G80" s="1106">
        <f>L_CViec!AE79</f>
        <v>1200</v>
      </c>
      <c r="H80" s="294">
        <f>L_CViec!AF79</f>
        <v>370129.5</v>
      </c>
      <c r="I80" s="294">
        <f>G80*H80/20000</f>
        <v>22207.77</v>
      </c>
      <c r="J80" s="1065">
        <f>$D80*$G80*L_CBac!$J$68/8000</f>
        <v>3834.6750000000002</v>
      </c>
      <c r="K80" s="1065">
        <f>$D80*$G80*L_CBac!$J$69/8000</f>
        <v>4211.5384615384619</v>
      </c>
      <c r="M80" s="483"/>
      <c r="N80" s="118"/>
    </row>
    <row r="81" spans="1:19" s="111" customFormat="1" ht="20.25" customHeight="1">
      <c r="A81" s="526" t="str">
        <f>L_CViec!A80</f>
        <v>1.2</v>
      </c>
      <c r="B81" s="522" t="str">
        <f>L_CViec!B80</f>
        <v>Lập, cập nhật hoàn thiện Sổ địa chính điện tử</v>
      </c>
      <c r="C81" s="523" t="str">
        <f>L_CViec!AB80</f>
        <v>Thửa</v>
      </c>
      <c r="D81" s="523">
        <f>L_CViec!AA80</f>
        <v>1</v>
      </c>
      <c r="E81" s="523" t="str">
        <f>L_CViec!AC80</f>
        <v>1KS4</v>
      </c>
      <c r="F81" s="523" t="str">
        <f>L_CViec!AD80</f>
        <v>1-3</v>
      </c>
      <c r="G81" s="523">
        <f>L_CViec!AE80</f>
        <v>0.01</v>
      </c>
      <c r="H81" s="294">
        <f>L_CViec!AF80</f>
        <v>370129.5</v>
      </c>
      <c r="I81" s="294">
        <f>G81*H81</f>
        <v>3701.2950000000001</v>
      </c>
      <c r="J81" s="1065">
        <f>$D81*$G81*L_CBac!$J$68</f>
        <v>255.64500000000001</v>
      </c>
      <c r="K81" s="1065">
        <f>$D81*$G81*L_CBac!$J$69</f>
        <v>280.76923076923077</v>
      </c>
      <c r="M81" s="483"/>
      <c r="N81" s="118"/>
    </row>
    <row r="82" spans="1:19" s="85" customFormat="1" ht="33.75" customHeight="1">
      <c r="A82" s="523" t="str">
        <f>L_CViec!A81</f>
        <v>2</v>
      </c>
      <c r="B82" s="522" t="str">
        <f>L_CViec!B81</f>
        <v>Sao, in ấn hồ sơ địa chính để cung cấp cho cấp xã quản lý và khai thác sử dụng</v>
      </c>
      <c r="C82" s="523">
        <f>L_CViec!AB81</f>
        <v>0</v>
      </c>
      <c r="D82" s="523">
        <f>L_CViec!AA81</f>
        <v>0</v>
      </c>
      <c r="E82" s="523">
        <f>L_CViec!AC81</f>
        <v>0</v>
      </c>
      <c r="F82" s="523">
        <f>L_CViec!AD81</f>
        <v>0</v>
      </c>
      <c r="G82" s="523">
        <f>L_CViec!AE81</f>
        <v>0</v>
      </c>
      <c r="H82" s="294">
        <f>L_CViec!AF81</f>
        <v>0</v>
      </c>
      <c r="I82" s="294">
        <f>SUM(I83:I84)</f>
        <v>675.48633749999999</v>
      </c>
      <c r="J82" s="1065">
        <f>$D82*$G82*L_CBac!$J$68</f>
        <v>0</v>
      </c>
      <c r="K82" s="1065">
        <f>$D82*$G82*L_CBac!$J$69</f>
        <v>0</v>
      </c>
      <c r="M82" s="483"/>
      <c r="N82" s="118"/>
    </row>
    <row r="83" spans="1:19" s="111" customFormat="1">
      <c r="A83" s="526" t="str">
        <f>L_CViec!A82</f>
        <v>2.1</v>
      </c>
      <c r="B83" s="522" t="str">
        <f>L_CViec!B82</f>
        <v>Bản đồ địa chính</v>
      </c>
      <c r="C83" s="523" t="str">
        <f>L_CViec!AB82</f>
        <v>Tờ</v>
      </c>
      <c r="D83" s="1109">
        <f>L_CViec!AA82</f>
        <v>1</v>
      </c>
      <c r="E83" s="523" t="str">
        <f>L_CViec!AC82</f>
        <v>1KS4</v>
      </c>
      <c r="F83" s="523" t="str">
        <f>L_CViec!AD82</f>
        <v>1-3</v>
      </c>
      <c r="G83" s="523">
        <f>L_CViec!AE82</f>
        <v>2.5000000000000001E-2</v>
      </c>
      <c r="H83" s="294">
        <f>L_CViec!AF82</f>
        <v>370129.5</v>
      </c>
      <c r="I83" s="294">
        <f>G83*H83/20000*250*2</f>
        <v>231.33093750000003</v>
      </c>
      <c r="J83" s="1065">
        <f>$D83*$G83*L_CBac!$J$68/8000*60</f>
        <v>4.7933437500000009</v>
      </c>
      <c r="K83" s="1065">
        <f>$D83*$G83*L_CBac!$J$69/8000*60</f>
        <v>5.2644230769230775</v>
      </c>
      <c r="M83" s="483"/>
      <c r="N83" s="118"/>
    </row>
    <row r="84" spans="1:19" s="111" customFormat="1">
      <c r="A84" s="526" t="str">
        <f>L_CViec!A83</f>
        <v>2.2</v>
      </c>
      <c r="B84" s="522" t="str">
        <f>L_CViec!B83</f>
        <v>Sao Sổ địa chính, Sổ mục kê đất đai</v>
      </c>
      <c r="C84" s="523" t="str">
        <f>L_CViec!AB83</f>
        <v>Bộ/đĩa</v>
      </c>
      <c r="D84" s="523">
        <f>L_CViec!AA83</f>
        <v>1</v>
      </c>
      <c r="E84" s="523" t="str">
        <f>L_CViec!AC83</f>
        <v>1KS4</v>
      </c>
      <c r="F84" s="523" t="str">
        <f>L_CViec!AD83</f>
        <v>1-3</v>
      </c>
      <c r="G84" s="523">
        <f>L_CViec!AE83</f>
        <v>8</v>
      </c>
      <c r="H84" s="294">
        <f>L_CViec!AF83</f>
        <v>370129.5</v>
      </c>
      <c r="I84" s="294">
        <f>G84*H84/20000*3</f>
        <v>444.15539999999999</v>
      </c>
      <c r="J84" s="1065">
        <f>$D84*$G84*L_CBac!$J$68/8000</f>
        <v>25.564499999999999</v>
      </c>
      <c r="K84" s="1065">
        <f>$D84*$G84*L_CBac!$J$69/8000</f>
        <v>28.076923076923077</v>
      </c>
      <c r="M84" s="483"/>
      <c r="N84" s="118"/>
    </row>
    <row r="85" spans="1:19" s="85" customFormat="1" ht="38.25">
      <c r="A85" s="523" t="str">
        <f>L_CViec!A84</f>
        <v>3</v>
      </c>
      <c r="B85" s="522" t="str">
        <f>L_CViec!B84</f>
        <v>Bàn giao HSĐC cho cấp xã để quản lý và khai thác sử dụng</v>
      </c>
      <c r="C85" s="523" t="str">
        <f>L_CViec!AB84</f>
        <v>Bộ/xã, phường</v>
      </c>
      <c r="D85" s="523">
        <f>L_CViec!AA84</f>
        <v>1</v>
      </c>
      <c r="E85" s="523" t="str">
        <f>L_CViec!AC84</f>
        <v>1KS4</v>
      </c>
      <c r="F85" s="523" t="str">
        <f>L_CViec!AD84</f>
        <v>1-3</v>
      </c>
      <c r="G85" s="523">
        <f>L_CViec!AE84</f>
        <v>32</v>
      </c>
      <c r="H85" s="294">
        <f>L_CViec!AF84</f>
        <v>370129.5</v>
      </c>
      <c r="I85" s="294">
        <f>G85*H85/20000*2</f>
        <v>1184.4143999999999</v>
      </c>
      <c r="J85" s="1065">
        <f>$D85*$G85*L_CBac!$J$68/8000</f>
        <v>102.258</v>
      </c>
      <c r="K85" s="1065">
        <f>$D85*$G85*L_CBac!$J$69/8000</f>
        <v>112.30769230769231</v>
      </c>
      <c r="M85" s="483"/>
      <c r="N85" s="118"/>
    </row>
    <row r="86" spans="1:19" s="85" customFormat="1">
      <c r="A86" s="1081" t="str">
        <f>L_CViec!A85</f>
        <v>I.3</v>
      </c>
      <c r="B86" s="1082" t="str">
        <f>L_CViec!B85</f>
        <v>GHI CHÚ</v>
      </c>
      <c r="C86" s="1082">
        <f>L_CViec!AB85</f>
        <v>0</v>
      </c>
      <c r="D86" s="1082">
        <f>L_CViec!AA85</f>
        <v>0</v>
      </c>
      <c r="E86" s="1082">
        <f>L_CViec!AC85</f>
        <v>0</v>
      </c>
      <c r="F86" s="1082">
        <f>L_CViec!AD85</f>
        <v>0</v>
      </c>
      <c r="G86" s="1082">
        <f>L_CViec!AE85</f>
        <v>0</v>
      </c>
      <c r="H86" s="1083">
        <f>L_CViec!AF85</f>
        <v>0</v>
      </c>
      <c r="I86" s="1067"/>
      <c r="J86" s="1065"/>
      <c r="K86" s="1065"/>
    </row>
    <row r="87" spans="1:19" s="85" customFormat="1" ht="30.75" customHeight="1">
      <c r="A87" s="1110" t="str">
        <f>L_CViec!A86</f>
        <v>1</v>
      </c>
      <c r="B87" s="1420" t="str">
        <f>L_CViec!B86</f>
        <v>(1) Định mức trên đây tính cho các công việc đăng ký, cấp GCN đối với quyền sử dụng đất. Trường hợp đăng ký, cấp GCN đối với cả đất và tài sản gắn liền với đất thì định mức tính cho 1 hồ sơ đăng ký cả đất và tài sản bằng 1,6 lần định mức lao động cho 1 hồ sơ đăng ký đối với đất quy định tại Bảng này</v>
      </c>
      <c r="C87" s="1420"/>
      <c r="D87" s="1420"/>
      <c r="E87" s="1420"/>
      <c r="F87" s="1420"/>
      <c r="G87" s="1420"/>
      <c r="H87" s="1420"/>
      <c r="I87" s="1420"/>
      <c r="J87" s="1420"/>
      <c r="K87" s="1420"/>
    </row>
    <row r="88" spans="1:19" s="85" customFormat="1" ht="42.75" customHeight="1">
      <c r="A88" s="1110" t="str">
        <f>L_CViec!A87</f>
        <v>2</v>
      </c>
      <c r="B88" s="1420" t="str">
        <f>L_CViec!B87</f>
        <v>(2) Trường hợp nhiều thửa đất nông nghiệp lập chung trong 1 hồ sơ và cấp chung trong một GCN thì ngoài mức được tính ở trên, mỗi thửa đất tăng thêm được tính mức bằng 0,30 lần định mức quy định đối với Mục 2, 3, 4, 5, 6, 7, 10, 11, 12, 13, 15, 16, 17, 18, 19, 20, 21, 24, 25, 26, 27 và 30 các nội dung thực hiện tại địa bàn xã, phường; Mục 1, 2 các nội dung thực hiện tại cấp tỉnh của Bảng này.</v>
      </c>
      <c r="C88" s="1420"/>
      <c r="D88" s="1420"/>
      <c r="E88" s="1420"/>
      <c r="F88" s="1420"/>
      <c r="G88" s="1420"/>
      <c r="H88" s="1420"/>
      <c r="I88" s="1420"/>
      <c r="J88" s="1420"/>
      <c r="K88" s="1420"/>
    </row>
    <row r="89" spans="1:19" s="85" customFormat="1" ht="34.5" customHeight="1">
      <c r="A89" s="1110" t="str">
        <f>L_CViec!A88</f>
        <v>3</v>
      </c>
      <c r="B89" s="1420" t="str">
        <f>L_CViec!B88</f>
        <v>(3) Đối với các hồ sơ không có nhu cầu hoặc không đủ điều kiện cấp GCN thì được tính định mức đối với Mục 1, 2, 3, 4, 5, 6, 7, 10, 11, 13, 16 và 17 các nội dung thực hiện tại địa bàn xã, phường; Mục 1, 2, 3 các nội dung thực hiện tại địa bàn cấp tỉnh của Bảng 6</v>
      </c>
      <c r="C89" s="1420"/>
      <c r="D89" s="1420"/>
      <c r="E89" s="1420"/>
      <c r="F89" s="1420"/>
      <c r="G89" s="1420"/>
      <c r="H89" s="1420"/>
      <c r="I89" s="1420"/>
      <c r="J89" s="1420"/>
      <c r="K89" s="1420"/>
    </row>
    <row r="90" spans="1:19" s="85" customFormat="1" ht="39.75" customHeight="1">
      <c r="A90" s="1110">
        <v>4</v>
      </c>
      <c r="B90" s="1420" t="str">
        <f>L_CViec!B89</f>
        <v>(4) Trường hợp người sử dụng đất đã đăng ký đất đai theo quy định của pháp luật mà có nhu cầu và đủ điều kiện cấp GCN thì được tính định mức đối với Mục 2, 7, 12, 18, 19, 20, 21, 24, 25, 26, 27 và 30 các nội dung thực hiện tại địa bàn xã, phường; Mục 1, 2, 3 các nội dung thực hiện tại địa bàn cấp tỉnh của Bảng này</v>
      </c>
      <c r="C90" s="1420"/>
      <c r="D90" s="1420"/>
      <c r="E90" s="1420"/>
      <c r="F90" s="1420"/>
      <c r="G90" s="1420"/>
      <c r="H90" s="1420"/>
      <c r="I90" s="1420"/>
      <c r="J90" s="1420"/>
      <c r="K90" s="1420"/>
    </row>
    <row r="91" spans="1:19" s="85" customFormat="1" ht="33.75" customHeight="1">
      <c r="A91" s="1110" t="str">
        <f>L_CViec!A90</f>
        <v>5</v>
      </c>
      <c r="B91" s="1420" t="str">
        <f>L_CViec!B90</f>
        <v>(5) Đơn vị tính tại Bảng này trong trường hợp sử dụng là “Bộ/đĩa”, “Bộ/xã, phường,đặc khu” được tính trung bình cho 20.000 hồ sơ/1 xã, phường,đặc khu; trong trường hợp sử dụng là “Tờ” được tính trung bình 250 tờ bản đồ/1xã, phường,đặc khu.</v>
      </c>
      <c r="C91" s="1420"/>
      <c r="D91" s="1420"/>
      <c r="E91" s="1420"/>
      <c r="F91" s="1420"/>
      <c r="G91" s="1420"/>
      <c r="H91" s="1420"/>
      <c r="I91" s="1420"/>
      <c r="J91" s="1420"/>
      <c r="K91" s="1420"/>
    </row>
    <row r="92" spans="1:19" s="85" customFormat="1" ht="24.75" customHeight="1">
      <c r="A92" s="1110" t="str">
        <f>L_CViec!A91</f>
        <v>6</v>
      </c>
      <c r="B92" s="1420" t="str">
        <f>L_CViec!B91</f>
        <v>(6) Đơn vị tính tại Bảng này trong trường hợp sử dụng là “Điểm” được tính trung bình cho 10 điểm/1 xã, phường,đặc khu và “Cuộc” được tính trung bình cho 10 cuộc/1 xã, phường,đặc khu</v>
      </c>
      <c r="C92" s="1420"/>
      <c r="D92" s="1420"/>
      <c r="E92" s="1420"/>
      <c r="F92" s="1420"/>
      <c r="G92" s="1420"/>
      <c r="H92" s="1420"/>
      <c r="I92" s="1420"/>
      <c r="J92" s="1420"/>
      <c r="K92" s="1420"/>
    </row>
    <row r="93" spans="1:19" s="85" customFormat="1" ht="30" customHeight="1">
      <c r="A93" s="84"/>
      <c r="B93" s="1423"/>
      <c r="C93" s="1423"/>
      <c r="D93" s="1423"/>
      <c r="E93" s="1423"/>
      <c r="F93" s="1423"/>
      <c r="G93" s="1423"/>
      <c r="H93" s="1423"/>
      <c r="I93" s="1423"/>
      <c r="J93" s="1423"/>
      <c r="K93" s="1423"/>
    </row>
    <row r="94" spans="1:19" s="37" customFormat="1">
      <c r="A94" s="37" t="s">
        <v>339</v>
      </c>
      <c r="B94" s="869"/>
      <c r="C94" s="870"/>
      <c r="D94" s="870"/>
      <c r="E94" s="870"/>
      <c r="F94" s="870"/>
      <c r="G94" s="871"/>
      <c r="H94" s="872"/>
      <c r="I94" s="872"/>
      <c r="J94" s="872"/>
      <c r="K94" s="872"/>
    </row>
    <row r="95" spans="1:19" s="31" customFormat="1" ht="15" customHeight="1">
      <c r="A95" s="1426" t="s">
        <v>24</v>
      </c>
      <c r="B95" s="1451" t="s">
        <v>46</v>
      </c>
      <c r="C95" s="1427" t="s">
        <v>39</v>
      </c>
      <c r="D95" s="1102"/>
      <c r="E95" s="1427" t="s">
        <v>17</v>
      </c>
      <c r="F95" s="1102" t="s">
        <v>98</v>
      </c>
      <c r="G95" s="1429" t="s">
        <v>335</v>
      </c>
      <c r="H95" s="1429"/>
      <c r="I95" s="1429"/>
      <c r="J95" s="1428" t="s">
        <v>351</v>
      </c>
      <c r="K95" s="1429" t="s">
        <v>496</v>
      </c>
      <c r="L95" s="1429"/>
      <c r="M95" s="1429"/>
      <c r="N95" s="1449" t="s">
        <v>355</v>
      </c>
      <c r="O95" s="1449"/>
      <c r="P95" s="1449"/>
      <c r="Q95" s="1447" t="s">
        <v>356</v>
      </c>
      <c r="R95" s="1448"/>
      <c r="S95" s="1448"/>
    </row>
    <row r="96" spans="1:19" s="31" customFormat="1" ht="25.5">
      <c r="A96" s="1426"/>
      <c r="B96" s="1452"/>
      <c r="C96" s="1427"/>
      <c r="D96" s="1102"/>
      <c r="E96" s="1427"/>
      <c r="F96" s="1102" t="s">
        <v>25</v>
      </c>
      <c r="G96" s="1103" t="s">
        <v>359</v>
      </c>
      <c r="H96" s="1103" t="s">
        <v>358</v>
      </c>
      <c r="I96" s="1103" t="s">
        <v>357</v>
      </c>
      <c r="J96" s="1429"/>
      <c r="K96" s="1103" t="s">
        <v>359</v>
      </c>
      <c r="L96" s="1103" t="s">
        <v>358</v>
      </c>
      <c r="M96" s="1103" t="s">
        <v>357</v>
      </c>
      <c r="N96" s="1062" t="s">
        <v>359</v>
      </c>
      <c r="O96" s="1062" t="s">
        <v>358</v>
      </c>
      <c r="P96" s="1077" t="s">
        <v>357</v>
      </c>
      <c r="Q96" s="1069" t="s">
        <v>359</v>
      </c>
      <c r="R96" s="451" t="s">
        <v>358</v>
      </c>
      <c r="S96" s="453" t="s">
        <v>357</v>
      </c>
    </row>
    <row r="97" spans="1:19" s="86" customFormat="1" ht="32.25" customHeight="1">
      <c r="A97" s="520" t="str">
        <f>L_CViec!A93</f>
        <v>II</v>
      </c>
      <c r="B97" s="1425" t="str">
        <f>L_CViec!B93</f>
        <v>Đăng ký, cấp Giấy chứng nhận lần đầu đơn lẻ đối với hộ gia đình, cá nhân, cộng đồng dân cư, tổ chức trong nước, người gốc Việt Nam định cư ở nước ngoài tại địa bàn cấp xã, phường</v>
      </c>
      <c r="C97" s="1425"/>
      <c r="D97" s="1425"/>
      <c r="E97" s="1425"/>
      <c r="F97" s="1425"/>
      <c r="G97" s="1425"/>
      <c r="H97" s="1425"/>
      <c r="I97" s="1425"/>
      <c r="J97" s="1425"/>
      <c r="K97" s="1093"/>
      <c r="L97" s="1093"/>
      <c r="M97" s="1093"/>
      <c r="N97" s="1064"/>
      <c r="O97" s="1064"/>
      <c r="P97" s="1064"/>
      <c r="Q97" s="1070"/>
      <c r="R97" s="482"/>
      <c r="S97" s="482"/>
    </row>
    <row r="98" spans="1:19" s="86" customFormat="1">
      <c r="A98" s="1431" t="str">
        <f>L_CViec!A94</f>
        <v>II.1</v>
      </c>
      <c r="B98" s="1425" t="str">
        <f>L_CViec!B94</f>
        <v>CÁC NỘI DUNG THỰC HIỆN TẠI ĐỊA BÀN CẤP XÃ, PHƯỜNG</v>
      </c>
      <c r="C98" s="1425"/>
      <c r="D98" s="993"/>
      <c r="E98" s="520" t="s">
        <v>353</v>
      </c>
      <c r="F98" s="1431">
        <v>1</v>
      </c>
      <c r="G98" s="993"/>
      <c r="H98" s="993"/>
      <c r="I98" s="1119"/>
      <c r="J98" s="1093"/>
      <c r="K98" s="1093">
        <f>SUM(K$106,K107,K108,K114,K116,K129,K132,K133,K136,K138,K139,K140,K143,K147,K148,K149,K151,K153,K154,K160,K161)</f>
        <v>1339868.7900000003</v>
      </c>
      <c r="L98" s="1093">
        <f t="shared" ref="L98:M98" si="5">SUM(L$106,L107,L108,L114,L116,L129,L132,L133,L136,L138,L139,L140,L143,L147,L148,L149,L151,L153,L154,L160,L161)</f>
        <v>1325030.2650000001</v>
      </c>
      <c r="M98" s="1093">
        <f t="shared" si="5"/>
        <v>1951802.8920000002</v>
      </c>
      <c r="N98" s="1064">
        <f t="shared" ref="N98:P98" si="6">SUM(N$105,N107,N108,N114,N116,N128,N129,N131,N133,N135,N138,N139,N140,N141,N144,N146,N148,N149,N151,N153,N154,N160,N161)</f>
        <v>118798.23149999998</v>
      </c>
      <c r="O98" s="1064">
        <f t="shared" si="6"/>
        <v>117520.00649999999</v>
      </c>
      <c r="P98" s="1064">
        <f t="shared" si="6"/>
        <v>183553.11000000004</v>
      </c>
      <c r="Q98" s="1071">
        <f>SUM(Q$105,Q$107,Q$108,Q110,Q$118,Q$120,Q$121,Q$123,Q$125,Q$126,Q$128,Q109,Q116,Q127)</f>
        <v>327040</v>
      </c>
      <c r="R98" s="166">
        <f>SUM(R$105,R$107,R$108,R110,R$118,R$120,R$121,R$123,R$125,R$126,R$128,R109,R116,R127)</f>
        <v>327040</v>
      </c>
      <c r="S98" s="166">
        <f>SUM(S$105,S$107,S$108,S110,S$118,S$120,S$121,S$123,S$125,S$126,S$128,S109,S116,S127)</f>
        <v>453582.69230769225</v>
      </c>
    </row>
    <row r="99" spans="1:19" s="86" customFormat="1" ht="15" customHeight="1">
      <c r="A99" s="1431"/>
      <c r="B99" s="1425"/>
      <c r="C99" s="1425"/>
      <c r="D99" s="993"/>
      <c r="E99" s="520" t="s">
        <v>202</v>
      </c>
      <c r="F99" s="1431"/>
      <c r="G99" s="993"/>
      <c r="H99" s="993"/>
      <c r="I99" s="1119"/>
      <c r="J99" s="1093"/>
      <c r="K99" s="1093">
        <f>K117</f>
        <v>127346.15384615384</v>
      </c>
      <c r="L99" s="1093">
        <f t="shared" ref="L99:P99" si="7">L117</f>
        <v>127346.15384615384</v>
      </c>
      <c r="M99" s="1093">
        <f t="shared" si="7"/>
        <v>165550.00000000003</v>
      </c>
      <c r="N99" s="1064">
        <f t="shared" si="7"/>
        <v>17895.149999999998</v>
      </c>
      <c r="O99" s="1064">
        <f t="shared" si="7"/>
        <v>17895.149999999998</v>
      </c>
      <c r="P99" s="1064">
        <f t="shared" si="7"/>
        <v>23263.695</v>
      </c>
      <c r="Q99" s="311">
        <f>Q111</f>
        <v>0</v>
      </c>
      <c r="R99" s="309">
        <f>R111</f>
        <v>0</v>
      </c>
      <c r="S99" s="309">
        <f>S111</f>
        <v>0</v>
      </c>
    </row>
    <row r="100" spans="1:19" s="86" customFormat="1" ht="15" customHeight="1">
      <c r="A100" s="1431"/>
      <c r="B100" s="1425"/>
      <c r="C100" s="1425"/>
      <c r="D100" s="993"/>
      <c r="E100" s="520" t="s">
        <v>353</v>
      </c>
      <c r="F100" s="1431">
        <v>2</v>
      </c>
      <c r="G100" s="993"/>
      <c r="H100" s="993"/>
      <c r="I100" s="993"/>
      <c r="J100" s="1093"/>
      <c r="K100" s="1093">
        <f>SUM(K$106,K107,K108,K114,K118,K129,K132,K133,K136,K138,K139,K140,K143,K147,K148,K149,K151,K153,K154,K160,K161)</f>
        <v>1391186.7450000001</v>
      </c>
      <c r="L100" s="1093">
        <f t="shared" ref="L100:M100" si="8">SUM(L$106,L107,L108,L114,L118,L129,L132,L133,L136,L138,L139,L140,L143,L147,L148,L149,L151,L153,L154,L160,L161)</f>
        <v>1376348.2200000002</v>
      </c>
      <c r="M100" s="1093">
        <f t="shared" si="8"/>
        <v>2018516.2335000003</v>
      </c>
      <c r="N100" s="1064">
        <f t="shared" ref="N100:P100" si="9">SUM(N$105,N107,N108,N114,N118,N128,N129,N131,N133,N135,N138,N139,N140,N141,N144,N146,N148,N149,N151,N153,N154,N160,N161)</f>
        <v>123399.84149999998</v>
      </c>
      <c r="O100" s="1064">
        <f t="shared" si="9"/>
        <v>122121.61649999999</v>
      </c>
      <c r="P100" s="1064">
        <f t="shared" si="9"/>
        <v>189535.20300000001</v>
      </c>
      <c r="Q100" s="1071">
        <f>SUM(Q$105,Q$107,Q$108,Q112,Q$118,Q$120,Q$121,Q$123,Q$125,Q$126,Q$128,Q109,Q116,Q127)</f>
        <v>326703.07692307694</v>
      </c>
      <c r="R100" s="166">
        <f>SUM(R$105,R$107,R$108,R112,R$118,R$120,R$121,R$123,R$125,R$126,R$128,R109,R116,R127)</f>
        <v>326703.07692307694</v>
      </c>
      <c r="S100" s="166">
        <f>SUM(S$105,S$107,S$108,S112,S$118,S$120,S$121,S$123,S$125,S$126,S$128,S109,S116,S127)</f>
        <v>453161.53846153844</v>
      </c>
    </row>
    <row r="101" spans="1:19" s="86" customFormat="1" ht="15" customHeight="1">
      <c r="A101" s="1431"/>
      <c r="B101" s="1425"/>
      <c r="C101" s="1425"/>
      <c r="D101" s="993"/>
      <c r="E101" s="520" t="s">
        <v>202</v>
      </c>
      <c r="F101" s="1431"/>
      <c r="G101" s="993"/>
      <c r="H101" s="993"/>
      <c r="I101" s="993"/>
      <c r="J101" s="1093"/>
      <c r="K101" s="1093">
        <f t="shared" ref="K101:P101" si="10">K119</f>
        <v>140080.76923076925</v>
      </c>
      <c r="L101" s="1093">
        <f t="shared" si="10"/>
        <v>140080.76923076925</v>
      </c>
      <c r="M101" s="1093">
        <f t="shared" si="10"/>
        <v>182105</v>
      </c>
      <c r="N101" s="1064">
        <f t="shared" si="10"/>
        <v>19684.665000000001</v>
      </c>
      <c r="O101" s="1064">
        <f t="shared" si="10"/>
        <v>19684.665000000001</v>
      </c>
      <c r="P101" s="1064">
        <f t="shared" si="10"/>
        <v>25590.064499999997</v>
      </c>
      <c r="Q101" s="311">
        <f>Q113</f>
        <v>0</v>
      </c>
      <c r="R101" s="309">
        <f>R113</f>
        <v>0</v>
      </c>
      <c r="S101" s="309">
        <f>S113</f>
        <v>0</v>
      </c>
    </row>
    <row r="102" spans="1:19" s="86" customFormat="1" ht="15" customHeight="1">
      <c r="A102" s="1431"/>
      <c r="B102" s="1425"/>
      <c r="C102" s="1425"/>
      <c r="D102" s="993"/>
      <c r="E102" s="520" t="s">
        <v>353</v>
      </c>
      <c r="F102" s="1431">
        <v>3</v>
      </c>
      <c r="G102" s="993"/>
      <c r="H102" s="993"/>
      <c r="I102" s="993"/>
      <c r="J102" s="1093"/>
      <c r="K102" s="1093">
        <f>SUM(K$106,K107,K108,K114,K120,K129,K132,K133,K136,K138,K139,K140,K143,K147,K148,K149,K151,K153,K154,K160,K161)</f>
        <v>1447636.4955000002</v>
      </c>
      <c r="L102" s="1093">
        <f t="shared" ref="L102:M102" si="11">SUM(L$106,L107,L108,L114,L120,L129,L132,L133,L136,L138,L139,L140,L143,L147,L148,L149,L151,L153,L154,L160,L161)</f>
        <v>1432797.9705000003</v>
      </c>
      <c r="M102" s="1093">
        <f t="shared" si="11"/>
        <v>2092071.9690000003</v>
      </c>
      <c r="N102" s="1064">
        <f t="shared" ref="N102:P102" si="12">SUM(N$105,N107,N108,N114,N120,N128,N129,N131,N133,N135,N138,N139,N140,N141,N144,N146,N148,N149,N151,N153,N154,N160,N161)</f>
        <v>128461.61249999999</v>
      </c>
      <c r="O102" s="1064">
        <f t="shared" si="12"/>
        <v>127183.38749999998</v>
      </c>
      <c r="P102" s="1064">
        <f t="shared" si="12"/>
        <v>196130.84400000001</v>
      </c>
      <c r="Q102" s="1071">
        <f>SUM(Q$105,Q$107,Q$108,Q114,Q$118,Q$120,Q$121,Q$123,Q$125,Q$126,Q$128,Q109,Q116,Q127)</f>
        <v>327994.61538461538</v>
      </c>
      <c r="R102" s="166">
        <f>SUM(R$105,R$107,R$108,R114,R$118,R$120,R$121,R$123,R$125,R$126,R$128,R109,R116,R127)</f>
        <v>326590.76923076925</v>
      </c>
      <c r="S102" s="166">
        <f>SUM(S$105,S$107,S$108,S114,S$118,S$120,S$121,S$123,S$125,S$126,S$128,S109,S116,S127)</f>
        <v>454425</v>
      </c>
    </row>
    <row r="103" spans="1:19" s="86" customFormat="1" ht="15" customHeight="1">
      <c r="A103" s="1431"/>
      <c r="B103" s="1425"/>
      <c r="C103" s="1425"/>
      <c r="D103" s="993"/>
      <c r="E103" s="520" t="s">
        <v>202</v>
      </c>
      <c r="F103" s="1431"/>
      <c r="G103" s="993"/>
      <c r="H103" s="993"/>
      <c r="I103" s="993"/>
      <c r="J103" s="1093"/>
      <c r="K103" s="1093">
        <f t="shared" ref="K103:P103" si="13">K121</f>
        <v>154088.84615384616</v>
      </c>
      <c r="L103" s="1093">
        <f t="shared" si="13"/>
        <v>154088.84615384616</v>
      </c>
      <c r="M103" s="1093">
        <f t="shared" si="13"/>
        <v>200297.30769230772</v>
      </c>
      <c r="N103" s="1064">
        <f t="shared" si="13"/>
        <v>21653.1315</v>
      </c>
      <c r="O103" s="1064">
        <f t="shared" si="13"/>
        <v>21653.1315</v>
      </c>
      <c r="P103" s="1064">
        <f t="shared" si="13"/>
        <v>28146.514500000001</v>
      </c>
      <c r="Q103" s="311">
        <f>Q115</f>
        <v>0</v>
      </c>
      <c r="R103" s="309">
        <f>R115</f>
        <v>0</v>
      </c>
      <c r="S103" s="309">
        <f>S115</f>
        <v>0</v>
      </c>
    </row>
    <row r="104" spans="1:19" s="85" customFormat="1" ht="20.25" customHeight="1">
      <c r="A104" s="874" t="str">
        <f>L_CViec!A95</f>
        <v>1</v>
      </c>
      <c r="B104" s="877" t="str">
        <f>L_CViec!B95</f>
        <v>Hướng dẫn lập hồ sơ đề nghị đăng ký, cấp GCN</v>
      </c>
      <c r="C104" s="877">
        <f>L_CViec!AB95</f>
        <v>0</v>
      </c>
      <c r="D104" s="877"/>
      <c r="E104" s="877">
        <f>L_CViec!AC95</f>
        <v>0</v>
      </c>
      <c r="F104" s="877">
        <f>L_CViec!AD95</f>
        <v>0</v>
      </c>
      <c r="G104" s="877">
        <f>L_CViec!AE95</f>
        <v>0</v>
      </c>
      <c r="H104" s="876">
        <f>L_CViec!AF95</f>
        <v>0</v>
      </c>
      <c r="I104" s="878"/>
      <c r="J104" s="876">
        <f>L_CViec!AH95</f>
        <v>0</v>
      </c>
      <c r="K104" s="876"/>
      <c r="L104" s="876"/>
      <c r="M104" s="876"/>
      <c r="N104" s="1065"/>
      <c r="O104" s="1065"/>
      <c r="P104" s="1065"/>
      <c r="Q104" s="1072"/>
      <c r="R104" s="876"/>
      <c r="S104" s="876"/>
    </row>
    <row r="105" spans="1:19" s="111" customFormat="1" ht="15">
      <c r="A105" s="874" t="str">
        <f>L_CViec!A96</f>
        <v>1.1</v>
      </c>
      <c r="B105" s="877" t="str">
        <f>L_CViec!B96</f>
        <v>Theo hình thức trực tiếp</v>
      </c>
      <c r="C105" s="874" t="str">
        <f>L_CViec!AB96</f>
        <v>Hồ sơ</v>
      </c>
      <c r="D105" s="874">
        <f>L_CViec!AA96</f>
        <v>1</v>
      </c>
      <c r="E105" s="874" t="str">
        <f>L_CViec!AC96</f>
        <v>1KS2</v>
      </c>
      <c r="F105" s="998" t="str">
        <f>L_CViec!AD96</f>
        <v>1-3</v>
      </c>
      <c r="G105" s="874">
        <f>L_CViec!AE96</f>
        <v>0.2</v>
      </c>
      <c r="H105" s="878">
        <f>L_CViec!AF96</f>
        <v>0.2</v>
      </c>
      <c r="I105" s="878">
        <f>L_CViec!AG96</f>
        <v>0.26</v>
      </c>
      <c r="J105" s="876">
        <f>L_CViec!AH96</f>
        <v>296770.5</v>
      </c>
      <c r="K105" s="876">
        <f t="shared" ref="K105:K161" si="14">G105*$J105</f>
        <v>59354.100000000006</v>
      </c>
      <c r="L105" s="876">
        <f t="shared" ref="L105:L161" si="15">H105*$J105</f>
        <v>59354.100000000006</v>
      </c>
      <c r="M105" s="876">
        <f t="shared" ref="M105:M161" si="16">I105*$J105</f>
        <v>77160.33</v>
      </c>
      <c r="N105" s="1065">
        <f>$D105*G105*L_CBac!$J$68</f>
        <v>5112.9000000000005</v>
      </c>
      <c r="O105" s="1065">
        <f>$D105*H105*L_CBac!$J$68</f>
        <v>5112.9000000000005</v>
      </c>
      <c r="P105" s="1065">
        <f>$D105*I105*L_CBac!$J$68</f>
        <v>6646.77</v>
      </c>
      <c r="Q105" s="1072">
        <f>$D105*G105*L_CBac!$J$69</f>
        <v>5615.3846153846162</v>
      </c>
      <c r="R105" s="876">
        <f>$D105*H105*L_CBac!$J$69</f>
        <v>5615.3846153846162</v>
      </c>
      <c r="S105" s="876">
        <f>$D105*I105*L_CBac!$J$69</f>
        <v>7300.0000000000009</v>
      </c>
    </row>
    <row r="106" spans="1:19" s="111" customFormat="1" ht="22.5" customHeight="1">
      <c r="A106" s="874" t="str">
        <f>L_CViec!A97</f>
        <v>1.2</v>
      </c>
      <c r="B106" s="877" t="str">
        <f>L_CViec!B97</f>
        <v>Theo hình thức trực tuyến</v>
      </c>
      <c r="C106" s="874" t="str">
        <f>L_CViec!AB97</f>
        <v>Hồ sơ</v>
      </c>
      <c r="D106" s="874">
        <f>L_CViec!AA97</f>
        <v>1</v>
      </c>
      <c r="E106" s="874" t="str">
        <f>L_CViec!AC97</f>
        <v>1KS2</v>
      </c>
      <c r="F106" s="998" t="str">
        <f>L_CViec!AD97</f>
        <v>1-3</v>
      </c>
      <c r="G106" s="874">
        <f>L_CViec!AE97</f>
        <v>0.15</v>
      </c>
      <c r="H106" s="878">
        <f>L_CViec!AF97</f>
        <v>0.15</v>
      </c>
      <c r="I106" s="878">
        <f>L_CViec!AG97</f>
        <v>0.19</v>
      </c>
      <c r="J106" s="876">
        <f>L_CViec!AH97</f>
        <v>296770.5</v>
      </c>
      <c r="K106" s="876">
        <f t="shared" si="14"/>
        <v>44515.574999999997</v>
      </c>
      <c r="L106" s="876">
        <f t="shared" si="15"/>
        <v>44515.574999999997</v>
      </c>
      <c r="M106" s="876">
        <f t="shared" si="16"/>
        <v>56386.395000000004</v>
      </c>
      <c r="N106" s="1065">
        <f>$D106*G106*L_CBac!$J$68</f>
        <v>3834.6749999999997</v>
      </c>
      <c r="O106" s="1065">
        <f>$D106*H106*L_CBac!$J$68</f>
        <v>3834.6749999999997</v>
      </c>
      <c r="P106" s="1065">
        <f>$D106*I106*L_CBac!$J$68</f>
        <v>4857.2550000000001</v>
      </c>
      <c r="Q106" s="1072">
        <f>$D106*G106*L_CBac!$J$69</f>
        <v>4211.5384615384619</v>
      </c>
      <c r="R106" s="876">
        <f>$D106*H106*L_CBac!$J$69</f>
        <v>4211.5384615384619</v>
      </c>
      <c r="S106" s="876">
        <f>$D106*I106*L_CBac!$J$69</f>
        <v>5334.6153846153848</v>
      </c>
    </row>
    <row r="107" spans="1:19" s="85" customFormat="1" ht="38.25">
      <c r="A107" s="874" t="str">
        <f>L_CViec!A98</f>
        <v>2</v>
      </c>
      <c r="B107" s="877" t="str">
        <f>L_CViec!B98</f>
        <v>Nhận, kiểm tra tính đầy đủ, hợp lệ và viết giấy biên nhận hoặc trả lại hồ sơ, vào sổ theo dõi nhận, trả hồ sơ (theo hình thức trực tiếp, trực tuyến)</v>
      </c>
      <c r="C107" s="874" t="str">
        <f>L_CViec!AB98</f>
        <v>Hồ sơ</v>
      </c>
      <c r="D107" s="874">
        <f>L_CViec!AA98</f>
        <v>1</v>
      </c>
      <c r="E107" s="874" t="str">
        <f>L_CViec!AC98</f>
        <v>1KS2</v>
      </c>
      <c r="F107" s="998" t="str">
        <f>L_CViec!AD98</f>
        <v>1-3</v>
      </c>
      <c r="G107" s="874">
        <f>L_CViec!AE98</f>
        <v>0.1</v>
      </c>
      <c r="H107" s="878">
        <f>L_CViec!AF98</f>
        <v>0.1</v>
      </c>
      <c r="I107" s="878">
        <f>L_CViec!AG98</f>
        <v>1.1299999999999999</v>
      </c>
      <c r="J107" s="876">
        <f>L_CViec!AH98</f>
        <v>296770.5</v>
      </c>
      <c r="K107" s="876">
        <f t="shared" si="14"/>
        <v>29677.050000000003</v>
      </c>
      <c r="L107" s="876">
        <f t="shared" si="15"/>
        <v>29677.050000000003</v>
      </c>
      <c r="M107" s="876">
        <f t="shared" si="16"/>
        <v>335350.66499999998</v>
      </c>
      <c r="N107" s="1065">
        <f>$D107*G107*L_CBac!$J$68</f>
        <v>2556.4500000000003</v>
      </c>
      <c r="O107" s="1065">
        <f>$D107*H107*L_CBac!$J$68</f>
        <v>2556.4500000000003</v>
      </c>
      <c r="P107" s="1065">
        <f>$D107*I107*L_CBac!$J$68</f>
        <v>28887.884999999998</v>
      </c>
      <c r="Q107" s="1072">
        <f>$D107*G107*L_CBac!$J$69</f>
        <v>2807.6923076923081</v>
      </c>
      <c r="R107" s="876">
        <f>$D107*H107*L_CBac!$J$69</f>
        <v>2807.6923076923081</v>
      </c>
      <c r="S107" s="876">
        <f>$D107*I107*L_CBac!$J$69</f>
        <v>31726.923076923074</v>
      </c>
    </row>
    <row r="108" spans="1:19" s="85" customFormat="1" ht="25.5">
      <c r="A108" s="874" t="str">
        <f>L_CViec!A99</f>
        <v>3</v>
      </c>
      <c r="B108" s="877" t="str">
        <f>L_CViec!B99</f>
        <v>Tạo tệp (File) dữ liệu hồ sơ số và nhập thông tin do người sử dụng đất kê khai, đăng ký</v>
      </c>
      <c r="C108" s="874" t="str">
        <f>L_CViec!AB99</f>
        <v>Thửa</v>
      </c>
      <c r="D108" s="874">
        <f>L_CViec!AA99</f>
        <v>1</v>
      </c>
      <c r="E108" s="874" t="str">
        <f>L_CViec!AC99</f>
        <v>1KS3</v>
      </c>
      <c r="F108" s="998" t="str">
        <f>L_CViec!AD99</f>
        <v>1-3</v>
      </c>
      <c r="G108" s="874">
        <f>L_CViec!AE99</f>
        <v>0.107</v>
      </c>
      <c r="H108" s="878">
        <f>L_CViec!AF99</f>
        <v>0.107</v>
      </c>
      <c r="I108" s="878">
        <f>L_CViec!AG99</f>
        <v>0.16700000000000001</v>
      </c>
      <c r="J108" s="876">
        <f>L_CViec!AH99</f>
        <v>333450</v>
      </c>
      <c r="K108" s="876">
        <f t="shared" si="14"/>
        <v>35679.15</v>
      </c>
      <c r="L108" s="876">
        <f t="shared" si="15"/>
        <v>35679.15</v>
      </c>
      <c r="M108" s="876">
        <f t="shared" si="16"/>
        <v>55686.15</v>
      </c>
      <c r="N108" s="1065">
        <f>$D108*G108*L_CBac!$J$68</f>
        <v>2735.4014999999999</v>
      </c>
      <c r="O108" s="1065">
        <f>$D108*H108*L_CBac!$J$68</f>
        <v>2735.4014999999999</v>
      </c>
      <c r="P108" s="1065">
        <f>$D108*I108*L_CBac!$J$68</f>
        <v>4269.2714999999998</v>
      </c>
      <c r="Q108" s="1072">
        <f>$D108*G108*L_CBac!$J$69</f>
        <v>3004.2307692307695</v>
      </c>
      <c r="R108" s="876">
        <f>$D108*H108*L_CBac!$J$69</f>
        <v>3004.2307692307695</v>
      </c>
      <c r="S108" s="876">
        <f>$D108*I108*L_CBac!$J$69</f>
        <v>4688.8461538461543</v>
      </c>
    </row>
    <row r="109" spans="1:19" s="471" customFormat="1" ht="25.5">
      <c r="A109" s="874" t="str">
        <f>L_CViec!A100</f>
        <v>4</v>
      </c>
      <c r="B109" s="877" t="str">
        <f>L_CViec!B100</f>
        <v>Quét giấy tờ pháp lý về quyền sử dụng đất, quyền sở hữu nhà ở và tài sản khác gắn liền với đất</v>
      </c>
      <c r="C109" s="874">
        <f>L_CViec!AB100</f>
        <v>0</v>
      </c>
      <c r="D109" s="874">
        <f>L_CViec!AA100</f>
        <v>0</v>
      </c>
      <c r="E109" s="874">
        <f>L_CViec!AC100</f>
        <v>0</v>
      </c>
      <c r="F109" s="998">
        <f>L_CViec!AD100</f>
        <v>0</v>
      </c>
      <c r="G109" s="874">
        <f>L_CViec!AE100</f>
        <v>0</v>
      </c>
      <c r="H109" s="878">
        <f>L_CViec!AF100</f>
        <v>0</v>
      </c>
      <c r="I109" s="878">
        <f>L_CViec!AG100</f>
        <v>0</v>
      </c>
      <c r="J109" s="876">
        <f>L_CViec!AH100</f>
        <v>0</v>
      </c>
      <c r="K109" s="876">
        <f t="shared" si="14"/>
        <v>0</v>
      </c>
      <c r="L109" s="876">
        <f t="shared" si="15"/>
        <v>0</v>
      </c>
      <c r="M109" s="876">
        <f t="shared" si="16"/>
        <v>0</v>
      </c>
      <c r="N109" s="1065">
        <f>$D109*G109*L_CBac!$J$68</f>
        <v>0</v>
      </c>
      <c r="O109" s="1065">
        <f>$D109*H109*L_CBac!$J$68</f>
        <v>0</v>
      </c>
      <c r="P109" s="1065">
        <f>$D109*I109*L_CBac!$J$68</f>
        <v>0</v>
      </c>
      <c r="Q109" s="1073">
        <f>$D109*G109*L_CBac!$J$69</f>
        <v>0</v>
      </c>
      <c r="R109" s="899">
        <f>$D109*H109*L_CBac!$J$69</f>
        <v>0</v>
      </c>
      <c r="S109" s="899">
        <f>$D109*I109*L_CBac!$J$69</f>
        <v>0</v>
      </c>
    </row>
    <row r="110" spans="1:19" s="85" customFormat="1" ht="15">
      <c r="A110" s="874" t="str">
        <f>L_CViec!A101</f>
        <v>4.1</v>
      </c>
      <c r="B110" s="877" t="str">
        <f>L_CViec!B101</f>
        <v>Quét trang A3</v>
      </c>
      <c r="C110" s="874" t="str">
        <f>L_CViec!AB101</f>
        <v>Trang</v>
      </c>
      <c r="D110" s="874">
        <f>L_CViec!AA101</f>
        <v>1</v>
      </c>
      <c r="E110" s="874" t="str">
        <f>L_CViec!AC101</f>
        <v>1KS1</v>
      </c>
      <c r="F110" s="998" t="str">
        <f>L_CViec!AD101</f>
        <v>1-3</v>
      </c>
      <c r="G110" s="874">
        <f>L_CViec!AE101</f>
        <v>1.6E-2</v>
      </c>
      <c r="H110" s="878">
        <f>L_CViec!AF101</f>
        <v>1.6E-2</v>
      </c>
      <c r="I110" s="878">
        <f>L_CViec!AG101</f>
        <v>0.02</v>
      </c>
      <c r="J110" s="876">
        <f>L_CViec!AH101</f>
        <v>260091</v>
      </c>
      <c r="K110" s="876">
        <f t="shared" si="14"/>
        <v>4161.4560000000001</v>
      </c>
      <c r="L110" s="876">
        <f t="shared" si="15"/>
        <v>4161.4560000000001</v>
      </c>
      <c r="M110" s="876">
        <f t="shared" si="16"/>
        <v>5201.82</v>
      </c>
      <c r="N110" s="1065">
        <f>$D110*G110*L_CBac!$J$68</f>
        <v>409.03199999999998</v>
      </c>
      <c r="O110" s="1065">
        <f>$D110*H110*L_CBac!$J$68</f>
        <v>409.03199999999998</v>
      </c>
      <c r="P110" s="1065">
        <f>$D110*I110*L_CBac!$J$68</f>
        <v>511.29</v>
      </c>
      <c r="Q110" s="1072">
        <f>$D110*G110*L_CBac!$J$69</f>
        <v>449.23076923076928</v>
      </c>
      <c r="R110" s="876">
        <f>$D110*H110*L_CBac!$J$69</f>
        <v>449.23076923076928</v>
      </c>
      <c r="S110" s="876">
        <f>$D110*I110*L_CBac!$J$69</f>
        <v>561.53846153846155</v>
      </c>
    </row>
    <row r="111" spans="1:19" s="85" customFormat="1" ht="15">
      <c r="A111" s="874" t="str">
        <f>L_CViec!A102</f>
        <v>4.2</v>
      </c>
      <c r="B111" s="877" t="str">
        <f>L_CViec!B102</f>
        <v>Quét trang A4</v>
      </c>
      <c r="C111" s="874" t="str">
        <f>L_CViec!AB102</f>
        <v>Trang</v>
      </c>
      <c r="D111" s="874">
        <f>L_CViec!AA102</f>
        <v>1</v>
      </c>
      <c r="E111" s="874" t="str">
        <f>L_CViec!AC102</f>
        <v>1KS1</v>
      </c>
      <c r="F111" s="998" t="str">
        <f>L_CViec!AD102</f>
        <v>1-3</v>
      </c>
      <c r="G111" s="874">
        <f>L_CViec!AE102</f>
        <v>8.0000000000000002E-3</v>
      </c>
      <c r="H111" s="878">
        <f>L_CViec!AF102</f>
        <v>8.0000000000000002E-3</v>
      </c>
      <c r="I111" s="878">
        <f>L_CViec!AG102</f>
        <v>0.01</v>
      </c>
      <c r="J111" s="876">
        <f>L_CViec!AH102</f>
        <v>260091</v>
      </c>
      <c r="K111" s="876">
        <f t="shared" si="14"/>
        <v>2080.7280000000001</v>
      </c>
      <c r="L111" s="876">
        <f t="shared" si="15"/>
        <v>2080.7280000000001</v>
      </c>
      <c r="M111" s="876">
        <f t="shared" si="16"/>
        <v>2600.91</v>
      </c>
      <c r="N111" s="1065">
        <f>$D111*G111*L_CBac!$J$68</f>
        <v>204.51599999999999</v>
      </c>
      <c r="O111" s="1065">
        <f>$D111*H111*L_CBac!$J$68</f>
        <v>204.51599999999999</v>
      </c>
      <c r="P111" s="1065">
        <f>$D111*I111*L_CBac!$J$68</f>
        <v>255.64500000000001</v>
      </c>
      <c r="Q111" s="1072"/>
      <c r="R111" s="876"/>
      <c r="S111" s="876"/>
    </row>
    <row r="112" spans="1:19" s="85" customFormat="1" ht="25.5">
      <c r="A112" s="874" t="str">
        <f>L_CViec!A103</f>
        <v>5</v>
      </c>
      <c r="B112" s="877" t="str">
        <f>L_CViec!B103</f>
        <v>Xử lý các tệp tin quét thành tệp (File) hồ sơ quét dạng số của thửa đất, lưu trữ dưới khuôn dạng tệp tin PDF</v>
      </c>
      <c r="C112" s="874" t="str">
        <f>L_CViec!AB103</f>
        <v>Trang</v>
      </c>
      <c r="D112" s="874">
        <f>L_CViec!AA103</f>
        <v>1</v>
      </c>
      <c r="E112" s="874" t="str">
        <f>L_CViec!AC103</f>
        <v>1KS1</v>
      </c>
      <c r="F112" s="998" t="str">
        <f>L_CViec!AD103</f>
        <v>1-3</v>
      </c>
      <c r="G112" s="874">
        <f>L_CViec!AE103</f>
        <v>4.0000000000000001E-3</v>
      </c>
      <c r="H112" s="878">
        <f>L_CViec!AF103</f>
        <v>4.0000000000000001E-3</v>
      </c>
      <c r="I112" s="878">
        <f>L_CViec!AG103</f>
        <v>5.0000000000000001E-3</v>
      </c>
      <c r="J112" s="876">
        <f>L_CViec!AH103</f>
        <v>260091</v>
      </c>
      <c r="K112" s="876">
        <f t="shared" si="14"/>
        <v>1040.364</v>
      </c>
      <c r="L112" s="876">
        <f t="shared" si="15"/>
        <v>1040.364</v>
      </c>
      <c r="M112" s="876">
        <f t="shared" si="16"/>
        <v>1300.4549999999999</v>
      </c>
      <c r="N112" s="1065">
        <f>$D112*G112*L_CBac!$J$68</f>
        <v>102.258</v>
      </c>
      <c r="O112" s="1065">
        <f>$D112*H112*L_CBac!$J$68</f>
        <v>102.258</v>
      </c>
      <c r="P112" s="1065">
        <f>$D112*I112*L_CBac!$J$68</f>
        <v>127.82250000000001</v>
      </c>
      <c r="Q112" s="1072">
        <f>$D112*G112*L_CBac!$J$69</f>
        <v>112.30769230769232</v>
      </c>
      <c r="R112" s="876">
        <f>$D112*H112*L_CBac!$J$69</f>
        <v>112.30769230769232</v>
      </c>
      <c r="S112" s="876">
        <f>$D112*I112*L_CBac!$J$69</f>
        <v>140.38461538461539</v>
      </c>
    </row>
    <row r="113" spans="1:19" s="85" customFormat="1" ht="25.5">
      <c r="A113" s="874" t="str">
        <f>L_CViec!A104</f>
        <v>6</v>
      </c>
      <c r="B113" s="877" t="str">
        <f>L_CViec!B104</f>
        <v>Trích lục bản đồ địa chính đối với nơi đã có bản đồ địa chính hoặc kiểm tra, ký xác nhận mảnh trích đo bản đồ địa chính</v>
      </c>
      <c r="C113" s="874">
        <f>L_CViec!AB104</f>
        <v>0</v>
      </c>
      <c r="D113" s="874">
        <f>L_CViec!AA104</f>
        <v>0</v>
      </c>
      <c r="E113" s="874">
        <f>L_CViec!AC104</f>
        <v>0</v>
      </c>
      <c r="F113" s="998">
        <f>L_CViec!AD104</f>
        <v>0</v>
      </c>
      <c r="G113" s="874">
        <f>L_CViec!AE104</f>
        <v>0</v>
      </c>
      <c r="H113" s="878">
        <f>L_CViec!AF104</f>
        <v>0</v>
      </c>
      <c r="I113" s="878">
        <f>L_CViec!AG104</f>
        <v>0</v>
      </c>
      <c r="J113" s="876">
        <f>L_CViec!AH104</f>
        <v>0</v>
      </c>
      <c r="K113" s="876">
        <f t="shared" si="14"/>
        <v>0</v>
      </c>
      <c r="L113" s="876">
        <f t="shared" si="15"/>
        <v>0</v>
      </c>
      <c r="M113" s="876">
        <f t="shared" si="16"/>
        <v>0</v>
      </c>
      <c r="N113" s="1065">
        <f>$D113*G113*L_CBac!$J$68</f>
        <v>0</v>
      </c>
      <c r="O113" s="1065">
        <f>$D113*H113*L_CBac!$J$68</f>
        <v>0</v>
      </c>
      <c r="P113" s="1065">
        <f>$D113*I113*L_CBac!$J$68</f>
        <v>0</v>
      </c>
      <c r="Q113" s="1072"/>
      <c r="R113" s="876"/>
      <c r="S113" s="876"/>
    </row>
    <row r="114" spans="1:19" s="85" customFormat="1" ht="15">
      <c r="A114" s="874" t="str">
        <f>L_CViec!A105</f>
        <v>6.1</v>
      </c>
      <c r="B114" s="877" t="str">
        <f>L_CViec!B105</f>
        <v>Trích lục trên bản đồ dạng số</v>
      </c>
      <c r="C114" s="874" t="str">
        <f>L_CViec!AB105</f>
        <v>Thửa</v>
      </c>
      <c r="D114" s="874">
        <f>L_CViec!AA105</f>
        <v>1</v>
      </c>
      <c r="E114" s="874" t="str">
        <f>L_CViec!AC105</f>
        <v>1KS2</v>
      </c>
      <c r="F114" s="998" t="str">
        <f>L_CViec!AD105</f>
        <v>1-3</v>
      </c>
      <c r="G114" s="874">
        <f>L_CViec!AE105</f>
        <v>0.05</v>
      </c>
      <c r="H114" s="878">
        <f>L_CViec!AF105</f>
        <v>0</v>
      </c>
      <c r="I114" s="878">
        <f>L_CViec!AG105</f>
        <v>0.05</v>
      </c>
      <c r="J114" s="876">
        <f>L_CViec!AH105</f>
        <v>296770.5</v>
      </c>
      <c r="K114" s="876">
        <f t="shared" si="14"/>
        <v>14838.525000000001</v>
      </c>
      <c r="L114" s="876">
        <f t="shared" si="15"/>
        <v>0</v>
      </c>
      <c r="M114" s="876">
        <f t="shared" si="16"/>
        <v>14838.525000000001</v>
      </c>
      <c r="N114" s="1065">
        <f>$D114*G114*L_CBac!$J$68</f>
        <v>1278.2250000000001</v>
      </c>
      <c r="O114" s="1065">
        <f>$D114*H114*L_CBac!$J$68</f>
        <v>0</v>
      </c>
      <c r="P114" s="1065">
        <f>$D114*I114*L_CBac!$J$68</f>
        <v>1278.2250000000001</v>
      </c>
      <c r="Q114" s="1072">
        <f>$D114*G114*L_CBac!$J$69</f>
        <v>1403.846153846154</v>
      </c>
      <c r="R114" s="876">
        <f>$D114*H114*L_CBac!$J$69</f>
        <v>0</v>
      </c>
      <c r="S114" s="876">
        <f>$D114*I114*L_CBac!$J$69</f>
        <v>1403.846153846154</v>
      </c>
    </row>
    <row r="115" spans="1:19" s="85" customFormat="1" ht="15">
      <c r="A115" s="874" t="str">
        <f>L_CViec!A106</f>
        <v>6.2</v>
      </c>
      <c r="B115" s="877" t="str">
        <f>L_CViec!B106</f>
        <v>Trích lục trên bản đồ dạng giấy</v>
      </c>
      <c r="C115" s="874" t="str">
        <f>L_CViec!AB106</f>
        <v>Thửa</v>
      </c>
      <c r="D115" s="874">
        <f>L_CViec!AA106</f>
        <v>1</v>
      </c>
      <c r="E115" s="874" t="str">
        <f>L_CViec!AC106</f>
        <v>1KS2</v>
      </c>
      <c r="F115" s="998" t="str">
        <f>L_CViec!AD106</f>
        <v>1-3</v>
      </c>
      <c r="G115" s="874">
        <f>L_CViec!AE106</f>
        <v>0.1</v>
      </c>
      <c r="H115" s="878">
        <f>L_CViec!AF106</f>
        <v>0</v>
      </c>
      <c r="I115" s="878">
        <f>L_CViec!AG106</f>
        <v>0.1</v>
      </c>
      <c r="J115" s="876">
        <f>L_CViec!AH106</f>
        <v>296770.5</v>
      </c>
      <c r="K115" s="876">
        <f t="shared" si="14"/>
        <v>29677.050000000003</v>
      </c>
      <c r="L115" s="876">
        <f t="shared" si="15"/>
        <v>0</v>
      </c>
      <c r="M115" s="876">
        <f t="shared" si="16"/>
        <v>29677.050000000003</v>
      </c>
      <c r="N115" s="1065">
        <f>$D115*G115*L_CBac!$J$68</f>
        <v>2556.4500000000003</v>
      </c>
      <c r="O115" s="1065">
        <f>$D115*H115*L_CBac!$J$68</f>
        <v>0</v>
      </c>
      <c r="P115" s="1065">
        <f>$D115*I115*L_CBac!$J$68</f>
        <v>2556.4500000000003</v>
      </c>
      <c r="Q115" s="1072"/>
      <c r="R115" s="876"/>
      <c r="S115" s="876"/>
    </row>
    <row r="116" spans="1:19" s="471" customFormat="1" ht="15">
      <c r="A116" s="1444" t="str">
        <f>L_CViec!A107</f>
        <v>7</v>
      </c>
      <c r="B116" s="1453" t="str">
        <f>L_CViec!B107</f>
        <v>Xác nhận hiện trạng sử dụng đất có hay không có nhà ở, công trình xây dựng; tình trạng tranh chấp đất đai, tài sản gắn liền với đất; xác định đất sử dụng ổn định; xác định nguồn gốc sử dụng đất; xác nhận sự phù hợp với quy hoạch</v>
      </c>
      <c r="C116" s="874" t="str">
        <f>L_CViec!AB107</f>
        <v>Hồ sơ</v>
      </c>
      <c r="D116" s="874">
        <f>L_CViec!AA107</f>
        <v>2</v>
      </c>
      <c r="E116" s="874" t="str">
        <f>L_CViec!AC107</f>
        <v>1KS2,1KTV4</v>
      </c>
      <c r="F116" s="998">
        <f>L_CViec!AD107</f>
        <v>1</v>
      </c>
      <c r="G116" s="874">
        <f>L_CViec!AE107</f>
        <v>0.9</v>
      </c>
      <c r="H116" s="878">
        <f>L_CViec!AF107</f>
        <v>0.9</v>
      </c>
      <c r="I116" s="878">
        <f>L_CViec!AG107</f>
        <v>1.17</v>
      </c>
      <c r="J116" s="876">
        <f>L_CViec!AH107</f>
        <v>570199.5</v>
      </c>
      <c r="K116" s="876">
        <f t="shared" si="14"/>
        <v>513179.55</v>
      </c>
      <c r="L116" s="876">
        <f t="shared" si="15"/>
        <v>513179.55</v>
      </c>
      <c r="M116" s="876">
        <f t="shared" si="16"/>
        <v>667133.41499999992</v>
      </c>
      <c r="N116" s="1065">
        <f>$D116*G116*L_CBac!$J$68</f>
        <v>46016.1</v>
      </c>
      <c r="O116" s="1065">
        <f>$D116*H116*L_CBac!$J$68</f>
        <v>46016.1</v>
      </c>
      <c r="P116" s="1065">
        <f>$D116*I116*L_CBac!$J$68</f>
        <v>59820.929999999993</v>
      </c>
      <c r="Q116" s="1073">
        <f>$D116*G116*L_CBac!$J$69</f>
        <v>50538.461538461539</v>
      </c>
      <c r="R116" s="899">
        <f>$D116*H116*L_CBac!$J$69</f>
        <v>50538.461538461539</v>
      </c>
      <c r="S116" s="899">
        <f>$D116*I116*L_CBac!$J$69</f>
        <v>65700</v>
      </c>
    </row>
    <row r="117" spans="1:19" s="85" customFormat="1" ht="15">
      <c r="A117" s="1445"/>
      <c r="B117" s="1454"/>
      <c r="C117" s="874">
        <f>L_CViec!AB108</f>
        <v>0</v>
      </c>
      <c r="D117" s="874">
        <f>L_CViec!AA108</f>
        <v>1</v>
      </c>
      <c r="E117" s="874" t="str">
        <f>L_CViec!AC108</f>
        <v>LĐPT</v>
      </c>
      <c r="F117" s="998">
        <f>L_CViec!AD108</f>
        <v>0</v>
      </c>
      <c r="G117" s="874">
        <f>L_CViec!AE108</f>
        <v>0.7</v>
      </c>
      <c r="H117" s="878">
        <f>L_CViec!AF108</f>
        <v>0.7</v>
      </c>
      <c r="I117" s="878">
        <f>L_CViec!AG108</f>
        <v>0.91</v>
      </c>
      <c r="J117" s="876">
        <f>L_CViec!AH108</f>
        <v>181923.07692307694</v>
      </c>
      <c r="K117" s="876">
        <f t="shared" si="14"/>
        <v>127346.15384615384</v>
      </c>
      <c r="L117" s="876">
        <f t="shared" si="15"/>
        <v>127346.15384615384</v>
      </c>
      <c r="M117" s="876">
        <f t="shared" si="16"/>
        <v>165550.00000000003</v>
      </c>
      <c r="N117" s="1065">
        <f>$D117*G117*L_CBac!$J$68</f>
        <v>17895.149999999998</v>
      </c>
      <c r="O117" s="1065">
        <f>$D117*H117*L_CBac!$J$68</f>
        <v>17895.149999999998</v>
      </c>
      <c r="P117" s="1065">
        <f>$D117*I117*L_CBac!$J$68</f>
        <v>23263.695</v>
      </c>
      <c r="Q117" s="1072"/>
      <c r="R117" s="876"/>
      <c r="S117" s="876"/>
    </row>
    <row r="118" spans="1:19" s="111" customFormat="1" ht="15">
      <c r="A118" s="1445"/>
      <c r="B118" s="1454"/>
      <c r="C118" s="874">
        <f>L_CViec!AB109</f>
        <v>0</v>
      </c>
      <c r="D118" s="874">
        <f>L_CViec!AA109</f>
        <v>2</v>
      </c>
      <c r="E118" s="874" t="str">
        <f>L_CViec!AC109</f>
        <v>1KS2,1KTV4</v>
      </c>
      <c r="F118" s="998">
        <f>L_CViec!AD109</f>
        <v>2</v>
      </c>
      <c r="G118" s="874">
        <f>L_CViec!AE109</f>
        <v>0.99</v>
      </c>
      <c r="H118" s="878">
        <f>L_CViec!AF109</f>
        <v>0.99</v>
      </c>
      <c r="I118" s="878">
        <f>L_CViec!AG109</f>
        <v>1.2869999999999999</v>
      </c>
      <c r="J118" s="876">
        <f>L_CViec!AH109</f>
        <v>570199.5</v>
      </c>
      <c r="K118" s="876">
        <f t="shared" si="14"/>
        <v>564497.505</v>
      </c>
      <c r="L118" s="876">
        <f t="shared" si="15"/>
        <v>564497.505</v>
      </c>
      <c r="M118" s="876">
        <f t="shared" si="16"/>
        <v>733846.7564999999</v>
      </c>
      <c r="N118" s="1065">
        <f>$D118*G118*L_CBac!$J$68</f>
        <v>50617.71</v>
      </c>
      <c r="O118" s="1065">
        <f>$D118*H118*L_CBac!$J$68</f>
        <v>50617.71</v>
      </c>
      <c r="P118" s="1065">
        <f>$D118*I118*L_CBac!$J$68</f>
        <v>65803.023000000001</v>
      </c>
      <c r="Q118" s="1072">
        <f>$D118*G118*L_CBac!$J$69</f>
        <v>55592.307692307695</v>
      </c>
      <c r="R118" s="876">
        <f>$D118*H118*L_CBac!$J$69</f>
        <v>55592.307692307695</v>
      </c>
      <c r="S118" s="876">
        <f>$D118*I118*L_CBac!$J$69</f>
        <v>72270</v>
      </c>
    </row>
    <row r="119" spans="1:19" s="111" customFormat="1" ht="15">
      <c r="A119" s="1445"/>
      <c r="B119" s="1454"/>
      <c r="C119" s="874">
        <f>L_CViec!AB110</f>
        <v>0</v>
      </c>
      <c r="D119" s="874">
        <f>L_CViec!AA110</f>
        <v>1</v>
      </c>
      <c r="E119" s="874" t="str">
        <f>L_CViec!AC110</f>
        <v>LĐPT</v>
      </c>
      <c r="F119" s="998">
        <f>L_CViec!AD110</f>
        <v>0</v>
      </c>
      <c r="G119" s="874">
        <f>L_CViec!AE110</f>
        <v>0.77</v>
      </c>
      <c r="H119" s="878">
        <f>L_CViec!AF110</f>
        <v>0.77</v>
      </c>
      <c r="I119" s="878">
        <f>L_CViec!AG110</f>
        <v>1.0009999999999999</v>
      </c>
      <c r="J119" s="876">
        <f>L_CViec!AH110</f>
        <v>181923.07692307694</v>
      </c>
      <c r="K119" s="876">
        <f t="shared" si="14"/>
        <v>140080.76923076925</v>
      </c>
      <c r="L119" s="876">
        <f t="shared" si="15"/>
        <v>140080.76923076925</v>
      </c>
      <c r="M119" s="876">
        <f t="shared" si="16"/>
        <v>182105</v>
      </c>
      <c r="N119" s="1065">
        <f>$D119*G119*L_CBac!$J$68</f>
        <v>19684.665000000001</v>
      </c>
      <c r="O119" s="1065">
        <f>$D119*H119*L_CBac!$J$68</f>
        <v>19684.665000000001</v>
      </c>
      <c r="P119" s="1065">
        <f>$D119*I119*L_CBac!$J$68</f>
        <v>25590.064499999997</v>
      </c>
      <c r="Q119" s="1072">
        <f>$D119*G119*L_CBac!$J$69</f>
        <v>21619.23076923077</v>
      </c>
      <c r="R119" s="876">
        <f>$D119*H119*L_CBac!$J$69</f>
        <v>21619.23076923077</v>
      </c>
      <c r="S119" s="876">
        <f>$D119*I119*L_CBac!$J$69</f>
        <v>28104.999999999996</v>
      </c>
    </row>
    <row r="120" spans="1:19" s="85" customFormat="1" ht="15">
      <c r="A120" s="1445"/>
      <c r="B120" s="1454"/>
      <c r="C120" s="874">
        <f>L_CViec!AB111</f>
        <v>0</v>
      </c>
      <c r="D120" s="874">
        <f>L_CViec!AA111</f>
        <v>2</v>
      </c>
      <c r="E120" s="874" t="str">
        <f>L_CViec!AC111</f>
        <v>1KS2,1KTV4</v>
      </c>
      <c r="F120" s="998">
        <f>L_CViec!AD111</f>
        <v>3</v>
      </c>
      <c r="G120" s="874">
        <f>L_CViec!AE111</f>
        <v>1.089</v>
      </c>
      <c r="H120" s="878">
        <f>L_CViec!AF111</f>
        <v>1.089</v>
      </c>
      <c r="I120" s="878">
        <f>L_CViec!AG111</f>
        <v>1.4159999999999999</v>
      </c>
      <c r="J120" s="876">
        <f>L_CViec!AH111</f>
        <v>570199.5</v>
      </c>
      <c r="K120" s="876">
        <f t="shared" si="14"/>
        <v>620947.25549999997</v>
      </c>
      <c r="L120" s="876">
        <f t="shared" si="15"/>
        <v>620947.25549999997</v>
      </c>
      <c r="M120" s="876">
        <f t="shared" si="16"/>
        <v>807402.49199999997</v>
      </c>
      <c r="N120" s="1065">
        <f>$D120*G120*L_CBac!$J$68</f>
        <v>55679.481</v>
      </c>
      <c r="O120" s="1065">
        <f>$D120*H120*L_CBac!$J$68</f>
        <v>55679.481</v>
      </c>
      <c r="P120" s="1065">
        <f>$D120*I120*L_CBac!$J$68</f>
        <v>72398.66399999999</v>
      </c>
      <c r="Q120" s="1072">
        <f>$D120*G120*L_CBac!$J$69</f>
        <v>61151.538461538461</v>
      </c>
      <c r="R120" s="876">
        <f>$D120*H120*L_CBac!$J$69</f>
        <v>61151.538461538461</v>
      </c>
      <c r="S120" s="876">
        <f>$D120*I120*L_CBac!$J$69</f>
        <v>79513.846153846156</v>
      </c>
    </row>
    <row r="121" spans="1:19" s="85" customFormat="1" ht="15">
      <c r="A121" s="1446"/>
      <c r="B121" s="1455"/>
      <c r="C121" s="874">
        <f>L_CViec!AB112</f>
        <v>0</v>
      </c>
      <c r="D121" s="874">
        <f>L_CViec!AA112</f>
        <v>1</v>
      </c>
      <c r="E121" s="874" t="str">
        <f>L_CViec!AC112</f>
        <v>LĐPT</v>
      </c>
      <c r="F121" s="998">
        <f>L_CViec!AD112</f>
        <v>0</v>
      </c>
      <c r="G121" s="874">
        <f>L_CViec!AE112</f>
        <v>0.84699999999999998</v>
      </c>
      <c r="H121" s="878">
        <f>L_CViec!AF112</f>
        <v>0.84699999999999998</v>
      </c>
      <c r="I121" s="878">
        <f>L_CViec!AG112</f>
        <v>1.101</v>
      </c>
      <c r="J121" s="876">
        <f>L_CViec!AH112</f>
        <v>181923.07692307694</v>
      </c>
      <c r="K121" s="876">
        <f t="shared" si="14"/>
        <v>154088.84615384616</v>
      </c>
      <c r="L121" s="876">
        <f t="shared" si="15"/>
        <v>154088.84615384616</v>
      </c>
      <c r="M121" s="876">
        <f t="shared" si="16"/>
        <v>200297.30769230772</v>
      </c>
      <c r="N121" s="1065">
        <f>$D121*G121*L_CBac!$J$68</f>
        <v>21653.1315</v>
      </c>
      <c r="O121" s="1065">
        <f>$D121*H121*L_CBac!$J$68</f>
        <v>21653.1315</v>
      </c>
      <c r="P121" s="1065">
        <f>$D121*I121*L_CBac!$J$68</f>
        <v>28146.514500000001</v>
      </c>
      <c r="Q121" s="1072">
        <f>$D121*G121*L_CBac!$J$69</f>
        <v>23781.153846153848</v>
      </c>
      <c r="R121" s="876">
        <f>$D121*H121*L_CBac!$J$69</f>
        <v>23781.153846153848</v>
      </c>
      <c r="S121" s="876">
        <f>$D121*I121*L_CBac!$J$69</f>
        <v>30912.692307692309</v>
      </c>
    </row>
    <row r="122" spans="1:19" s="85" customFormat="1" ht="25.5" customHeight="1">
      <c r="A122" s="1444" t="str">
        <f>L_CViec!A113</f>
        <v>8</v>
      </c>
      <c r="B122" s="1453" t="str">
        <f>L_CViec!B113</f>
        <v xml:space="preserve">Kiểm tra thực tế sử dụng đất của tổ chức, xác định ranh giới cụ thể của thửa đất đối với tổ chức </v>
      </c>
      <c r="C122" s="874" t="str">
        <f>L_CViec!AB113</f>
        <v>Hồ sơ</v>
      </c>
      <c r="D122" s="874">
        <f>L_CViec!AA113</f>
        <v>2</v>
      </c>
      <c r="E122" s="874" t="str">
        <f>L_CViec!AC113</f>
        <v>1KS2,1KTV4</v>
      </c>
      <c r="F122" s="998">
        <f>L_CViec!AD113</f>
        <v>1</v>
      </c>
      <c r="G122" s="874">
        <f>L_CViec!AE113</f>
        <v>1</v>
      </c>
      <c r="H122" s="878">
        <f>L_CViec!AF113</f>
        <v>1</v>
      </c>
      <c r="I122" s="878">
        <f>L_CViec!AG113</f>
        <v>1.3</v>
      </c>
      <c r="J122" s="876">
        <f>L_CViec!AH113</f>
        <v>570199.5</v>
      </c>
      <c r="K122" s="876">
        <f t="shared" si="14"/>
        <v>570199.5</v>
      </c>
      <c r="L122" s="876">
        <f t="shared" si="15"/>
        <v>570199.5</v>
      </c>
      <c r="M122" s="876">
        <f t="shared" si="16"/>
        <v>741259.35</v>
      </c>
      <c r="N122" s="1065">
        <f>$D122*G122*L_CBac!$J$68</f>
        <v>51129</v>
      </c>
      <c r="O122" s="1065">
        <f>$D122*H122*L_CBac!$J$68</f>
        <v>51129</v>
      </c>
      <c r="P122" s="1065">
        <f>$D122*I122*L_CBac!$J$68</f>
        <v>66467.7</v>
      </c>
      <c r="Q122" s="1072"/>
      <c r="R122" s="876"/>
      <c r="S122" s="876"/>
    </row>
    <row r="123" spans="1:19" s="111" customFormat="1" ht="15">
      <c r="A123" s="1445"/>
      <c r="B123" s="1454"/>
      <c r="C123" s="874">
        <f>L_CViec!AB114</f>
        <v>0</v>
      </c>
      <c r="D123" s="874">
        <f>L_CViec!AA114</f>
        <v>1</v>
      </c>
      <c r="E123" s="874" t="str">
        <f>L_CViec!AC114</f>
        <v>LĐPT</v>
      </c>
      <c r="F123" s="998">
        <f>L_CViec!AD114</f>
        <v>0</v>
      </c>
      <c r="G123" s="874">
        <f>L_CViec!AE114</f>
        <v>0.59</v>
      </c>
      <c r="H123" s="878">
        <f>L_CViec!AF114</f>
        <v>0.59</v>
      </c>
      <c r="I123" s="878">
        <f>L_CViec!AG114</f>
        <v>0.76700000000000002</v>
      </c>
      <c r="J123" s="876">
        <f>L_CViec!AH114</f>
        <v>181923.07692307694</v>
      </c>
      <c r="K123" s="876">
        <f t="shared" si="14"/>
        <v>107334.61538461539</v>
      </c>
      <c r="L123" s="876">
        <f t="shared" si="15"/>
        <v>107334.61538461539</v>
      </c>
      <c r="M123" s="876">
        <f t="shared" si="16"/>
        <v>139535</v>
      </c>
      <c r="N123" s="1065">
        <f>$D123*G123*L_CBac!$J$68</f>
        <v>15083.054999999998</v>
      </c>
      <c r="O123" s="1065">
        <f>$D123*H123*L_CBac!$J$68</f>
        <v>15083.054999999998</v>
      </c>
      <c r="P123" s="1065">
        <f>$D123*I123*L_CBac!$J$68</f>
        <v>19607.9715</v>
      </c>
      <c r="Q123" s="1072">
        <f>$D123*G123*L_CBac!$J$69</f>
        <v>16565.384615384613</v>
      </c>
      <c r="R123" s="876">
        <f>$D123*H123*L_CBac!$J$69</f>
        <v>16565.384615384613</v>
      </c>
      <c r="S123" s="876">
        <f>$D123*I123*L_CBac!$J$69</f>
        <v>21535</v>
      </c>
    </row>
    <row r="124" spans="1:19" s="111" customFormat="1" ht="15">
      <c r="A124" s="1445"/>
      <c r="B124" s="1454"/>
      <c r="C124" s="874">
        <f>L_CViec!AB115</f>
        <v>0</v>
      </c>
      <c r="D124" s="874">
        <f>L_CViec!AA115</f>
        <v>2</v>
      </c>
      <c r="E124" s="874" t="str">
        <f>L_CViec!AC115</f>
        <v>1KS2,1KTV4</v>
      </c>
      <c r="F124" s="998">
        <f>L_CViec!AD115</f>
        <v>2</v>
      </c>
      <c r="G124" s="874">
        <f>L_CViec!AE115</f>
        <v>1.1000000000000001</v>
      </c>
      <c r="H124" s="878">
        <f>L_CViec!AF115</f>
        <v>1.1000000000000001</v>
      </c>
      <c r="I124" s="878">
        <f>L_CViec!AG115</f>
        <v>1.43</v>
      </c>
      <c r="J124" s="876">
        <f>L_CViec!AH115</f>
        <v>570199.5</v>
      </c>
      <c r="K124" s="876">
        <f t="shared" si="14"/>
        <v>627219.45000000007</v>
      </c>
      <c r="L124" s="876">
        <f t="shared" si="15"/>
        <v>627219.45000000007</v>
      </c>
      <c r="M124" s="876">
        <f t="shared" si="16"/>
        <v>815385.28499999992</v>
      </c>
      <c r="N124" s="1065">
        <f>$D124*G124*L_CBac!$J$68</f>
        <v>56241.9</v>
      </c>
      <c r="O124" s="1065">
        <f>$D124*H124*L_CBac!$J$68</f>
        <v>56241.9</v>
      </c>
      <c r="P124" s="1065">
        <f>$D124*I124*L_CBac!$J$68</f>
        <v>73114.47</v>
      </c>
      <c r="Q124" s="1072">
        <f>$D124*G124*L_CBac!$J$69</f>
        <v>61769.230769230773</v>
      </c>
      <c r="R124" s="876">
        <f>$D124*H124*L_CBac!$J$69</f>
        <v>61769.230769230773</v>
      </c>
      <c r="S124" s="876">
        <f>$D124*I124*L_CBac!$J$69</f>
        <v>80300</v>
      </c>
    </row>
    <row r="125" spans="1:19" s="85" customFormat="1" ht="15">
      <c r="A125" s="1445"/>
      <c r="B125" s="1454"/>
      <c r="C125" s="874">
        <f>L_CViec!AB116</f>
        <v>0</v>
      </c>
      <c r="D125" s="874">
        <f>L_CViec!AA116</f>
        <v>1</v>
      </c>
      <c r="E125" s="874" t="str">
        <f>L_CViec!AC116</f>
        <v>LĐPT</v>
      </c>
      <c r="F125" s="998">
        <f>L_CViec!AD116</f>
        <v>0</v>
      </c>
      <c r="G125" s="874">
        <f>L_CViec!AE116</f>
        <v>0.65</v>
      </c>
      <c r="H125" s="878">
        <f>L_CViec!AF116</f>
        <v>0.65</v>
      </c>
      <c r="I125" s="878">
        <f>L_CViec!AG116</f>
        <v>0.84499999999999997</v>
      </c>
      <c r="J125" s="876">
        <f>L_CViec!AH116</f>
        <v>181923.07692307694</v>
      </c>
      <c r="K125" s="876">
        <f t="shared" si="14"/>
        <v>118250.00000000001</v>
      </c>
      <c r="L125" s="876">
        <f t="shared" si="15"/>
        <v>118250.00000000001</v>
      </c>
      <c r="M125" s="876">
        <f t="shared" si="16"/>
        <v>153725</v>
      </c>
      <c r="N125" s="1065">
        <f>$D125*G125*L_CBac!$J$68</f>
        <v>16616.924999999999</v>
      </c>
      <c r="O125" s="1065">
        <f>$D125*H125*L_CBac!$J$68</f>
        <v>16616.924999999999</v>
      </c>
      <c r="P125" s="1065">
        <f>$D125*I125*L_CBac!$J$68</f>
        <v>21602.002499999999</v>
      </c>
      <c r="Q125" s="1072">
        <f>$D125*G125*L_CBac!$J$69</f>
        <v>18250</v>
      </c>
      <c r="R125" s="876">
        <f>$D125*H125*L_CBac!$J$69</f>
        <v>18250</v>
      </c>
      <c r="S125" s="876">
        <f>$D125*I125*L_CBac!$J$69</f>
        <v>23725</v>
      </c>
    </row>
    <row r="126" spans="1:19" s="85" customFormat="1" ht="15">
      <c r="A126" s="1445"/>
      <c r="B126" s="1454"/>
      <c r="C126" s="874">
        <f>L_CViec!AB117</f>
        <v>0</v>
      </c>
      <c r="D126" s="874">
        <f>L_CViec!AA117</f>
        <v>2</v>
      </c>
      <c r="E126" s="874" t="str">
        <f>L_CViec!AC117</f>
        <v>1KS2,1KTV4</v>
      </c>
      <c r="F126" s="998">
        <f>L_CViec!AD117</f>
        <v>3</v>
      </c>
      <c r="G126" s="874">
        <f>L_CViec!AE117</f>
        <v>1.21</v>
      </c>
      <c r="H126" s="878">
        <f>L_CViec!AF117</f>
        <v>1.21</v>
      </c>
      <c r="I126" s="878">
        <f>L_CViec!AG117</f>
        <v>1.573</v>
      </c>
      <c r="J126" s="876">
        <f>L_CViec!AH117</f>
        <v>570199.5</v>
      </c>
      <c r="K126" s="876">
        <f t="shared" si="14"/>
        <v>689941.39500000002</v>
      </c>
      <c r="L126" s="876">
        <f t="shared" si="15"/>
        <v>689941.39500000002</v>
      </c>
      <c r="M126" s="876">
        <f t="shared" si="16"/>
        <v>896923.81349999993</v>
      </c>
      <c r="N126" s="1065">
        <f>$D126*G126*L_CBac!$J$68</f>
        <v>61866.09</v>
      </c>
      <c r="O126" s="1065">
        <f>$D126*H126*L_CBac!$J$68</f>
        <v>61866.09</v>
      </c>
      <c r="P126" s="1065">
        <f>$D126*I126*L_CBac!$J$68</f>
        <v>80425.917000000001</v>
      </c>
      <c r="Q126" s="1072">
        <f>$D126*G126*L_CBac!$J$69</f>
        <v>67946.153846153844</v>
      </c>
      <c r="R126" s="876">
        <f>$D126*H126*L_CBac!$J$69</f>
        <v>67946.153846153844</v>
      </c>
      <c r="S126" s="876">
        <f>$D126*I126*L_CBac!$J$69</f>
        <v>88330</v>
      </c>
    </row>
    <row r="127" spans="1:19" s="566" customFormat="1" ht="31.5" customHeight="1">
      <c r="A127" s="1446"/>
      <c r="B127" s="1455"/>
      <c r="C127" s="874">
        <f>L_CViec!AB118</f>
        <v>0</v>
      </c>
      <c r="D127" s="874">
        <f>L_CViec!AA118</f>
        <v>1</v>
      </c>
      <c r="E127" s="874" t="str">
        <f>L_CViec!AC118</f>
        <v>LĐPT</v>
      </c>
      <c r="F127" s="998">
        <f>L_CViec!AD118</f>
        <v>0</v>
      </c>
      <c r="G127" s="874">
        <f>L_CViec!AE118</f>
        <v>0.71</v>
      </c>
      <c r="H127" s="878">
        <f>L_CViec!AF118</f>
        <v>0.71</v>
      </c>
      <c r="I127" s="878">
        <f>L_CViec!AG118</f>
        <v>0.92300000000000004</v>
      </c>
      <c r="J127" s="876">
        <f>L_CViec!AH118</f>
        <v>181923.07692307694</v>
      </c>
      <c r="K127" s="876">
        <f t="shared" si="14"/>
        <v>129165.38461538462</v>
      </c>
      <c r="L127" s="876">
        <f t="shared" si="15"/>
        <v>129165.38461538462</v>
      </c>
      <c r="M127" s="876">
        <f t="shared" si="16"/>
        <v>167915.00000000003</v>
      </c>
      <c r="N127" s="1065">
        <f>$D127*G127*L_CBac!$J$68</f>
        <v>18150.794999999998</v>
      </c>
      <c r="O127" s="1065">
        <f>$D127*H127*L_CBac!$J$68</f>
        <v>18150.794999999998</v>
      </c>
      <c r="P127" s="1065">
        <f>$D127*I127*L_CBac!$J$68</f>
        <v>23596.033500000001</v>
      </c>
      <c r="Q127" s="1074">
        <f>$D127*G127*L_CBac!$J$69</f>
        <v>19934.615384615383</v>
      </c>
      <c r="R127" s="904">
        <f>$D127*H127*L_CBac!$J$69</f>
        <v>19934.615384615383</v>
      </c>
      <c r="S127" s="904">
        <f>$D127*I127*L_CBac!$J$69</f>
        <v>25915.000000000004</v>
      </c>
    </row>
    <row r="128" spans="1:19" s="85" customFormat="1" ht="36" customHeight="1">
      <c r="A128" s="874">
        <f>L_CViec!A119</f>
        <v>9</v>
      </c>
      <c r="B128" s="877" t="str">
        <f>L_CViec!B119</f>
        <v>Lập biên bản kiểm tra việc sử dụng đất, ranh giới sử dụng đất của tổ chức</v>
      </c>
      <c r="C128" s="874" t="str">
        <f>L_CViec!AB119</f>
        <v>Hồ sơ</v>
      </c>
      <c r="D128" s="874">
        <f>L_CViec!AA119</f>
        <v>1</v>
      </c>
      <c r="E128" s="874" t="str">
        <f>L_CViec!AC119</f>
        <v>1KS2</v>
      </c>
      <c r="F128" s="998" t="str">
        <f>L_CViec!AD119</f>
        <v>1-3</v>
      </c>
      <c r="G128" s="874">
        <f>L_CViec!AE119</f>
        <v>0.05</v>
      </c>
      <c r="H128" s="878">
        <f>L_CViec!AF119</f>
        <v>0.05</v>
      </c>
      <c r="I128" s="878">
        <f>L_CViec!AG119</f>
        <v>0.05</v>
      </c>
      <c r="J128" s="876">
        <f>L_CViec!AH119</f>
        <v>296770.5</v>
      </c>
      <c r="K128" s="876">
        <f t="shared" si="14"/>
        <v>14838.525000000001</v>
      </c>
      <c r="L128" s="876">
        <f t="shared" si="15"/>
        <v>14838.525000000001</v>
      </c>
      <c r="M128" s="876">
        <f t="shared" si="16"/>
        <v>14838.525000000001</v>
      </c>
      <c r="N128" s="1065">
        <f>$D128*G128*L_CBac!$J$68</f>
        <v>1278.2250000000001</v>
      </c>
      <c r="O128" s="1065">
        <f>$D128*H128*L_CBac!$J$68</f>
        <v>1278.2250000000001</v>
      </c>
      <c r="P128" s="1065">
        <f>$D128*I128*L_CBac!$J$68</f>
        <v>1278.2250000000001</v>
      </c>
      <c r="Q128" s="1072">
        <f>$D128*G128*L_CBac!$J$69</f>
        <v>1403.846153846154</v>
      </c>
      <c r="R128" s="876">
        <f>$D128*H128*L_CBac!$J$69</f>
        <v>1403.846153846154</v>
      </c>
      <c r="S128" s="876">
        <f>$D128*I128*L_CBac!$J$69</f>
        <v>1403.846153846154</v>
      </c>
    </row>
    <row r="129" spans="1:19" s="471" customFormat="1" ht="25.5">
      <c r="A129" s="874">
        <f>L_CViec!A120</f>
        <v>10</v>
      </c>
      <c r="B129" s="877" t="str">
        <f>L_CViec!B120</f>
        <v>Niêm yết công khai các nội dung xác nhận tại trụ sở Ủy ban nhân dân cấp xã,phường,đặc khu, khu dân cư nơi có đất</v>
      </c>
      <c r="C129" s="874" t="str">
        <f>L_CViec!AB120</f>
        <v>Hồ sơ</v>
      </c>
      <c r="D129" s="874">
        <f>L_CViec!AA120</f>
        <v>1</v>
      </c>
      <c r="E129" s="874" t="str">
        <f>L_CViec!AC120</f>
        <v>1KTV4</v>
      </c>
      <c r="F129" s="998" t="str">
        <f>L_CViec!AD120</f>
        <v>1-3</v>
      </c>
      <c r="G129" s="874">
        <f>L_CViec!AE120</f>
        <v>0.06</v>
      </c>
      <c r="H129" s="878">
        <f>L_CViec!AF120</f>
        <v>0.06</v>
      </c>
      <c r="I129" s="878">
        <f>L_CViec!AG120</f>
        <v>7.8E-2</v>
      </c>
      <c r="J129" s="876">
        <f>L_CViec!AH120</f>
        <v>273429.00000000006</v>
      </c>
      <c r="K129" s="876">
        <f t="shared" si="14"/>
        <v>16405.740000000002</v>
      </c>
      <c r="L129" s="876">
        <f t="shared" si="15"/>
        <v>16405.740000000002</v>
      </c>
      <c r="M129" s="876">
        <f t="shared" si="16"/>
        <v>21327.462000000003</v>
      </c>
      <c r="N129" s="1065">
        <f>$D129*G129*L_CBac!$J$68</f>
        <v>1533.87</v>
      </c>
      <c r="O129" s="1065">
        <f>$D129*H129*L_CBac!$J$68</f>
        <v>1533.87</v>
      </c>
      <c r="P129" s="1065">
        <f>$D129*I129*L_CBac!$J$68</f>
        <v>1994.0309999999999</v>
      </c>
      <c r="Q129" s="1075"/>
      <c r="R129" s="903"/>
      <c r="S129" s="903"/>
    </row>
    <row r="130" spans="1:19" s="471" customFormat="1" ht="25.5">
      <c r="A130" s="874">
        <f>L_CViec!A121</f>
        <v>11</v>
      </c>
      <c r="B130" s="877" t="str">
        <f>L_CViec!B121</f>
        <v>Nhận các ý kiến phản ánh; Xem xét giải quyết các ý kiến phản ánh về nội dung đã công khai</v>
      </c>
      <c r="C130" s="874">
        <f>L_CViec!AB121</f>
        <v>0</v>
      </c>
      <c r="D130" s="874">
        <f>L_CViec!AA121</f>
        <v>0</v>
      </c>
      <c r="E130" s="874">
        <f>L_CViec!AC121</f>
        <v>0</v>
      </c>
      <c r="F130" s="998">
        <f>L_CViec!AD121</f>
        <v>0</v>
      </c>
      <c r="G130" s="874">
        <f>L_CViec!AE121</f>
        <v>0</v>
      </c>
      <c r="H130" s="878">
        <f>L_CViec!AF121</f>
        <v>0</v>
      </c>
      <c r="I130" s="878">
        <f>L_CViec!AG121</f>
        <v>0</v>
      </c>
      <c r="J130" s="876">
        <f>L_CViec!AH121</f>
        <v>0</v>
      </c>
      <c r="K130" s="876">
        <f t="shared" si="14"/>
        <v>0</v>
      </c>
      <c r="L130" s="876">
        <f t="shared" si="15"/>
        <v>0</v>
      </c>
      <c r="M130" s="876">
        <f t="shared" si="16"/>
        <v>0</v>
      </c>
      <c r="N130" s="1065">
        <f>$D130*G130*L_CBac!$J$68</f>
        <v>0</v>
      </c>
      <c r="O130" s="1065">
        <f>$D130*H130*L_CBac!$J$68</f>
        <v>0</v>
      </c>
      <c r="P130" s="1065">
        <f>$D130*I130*L_CBac!$J$68</f>
        <v>0</v>
      </c>
      <c r="Q130" s="1073">
        <f>$D130*G130*L_CBac!$J$69</f>
        <v>0</v>
      </c>
      <c r="R130" s="899">
        <f>$D130*H130*L_CBac!$J$69</f>
        <v>0</v>
      </c>
      <c r="S130" s="899">
        <f>$D130*I130*L_CBac!$J$69</f>
        <v>0</v>
      </c>
    </row>
    <row r="131" spans="1:19" s="471" customFormat="1" ht="15">
      <c r="A131" s="874">
        <f>L_CViec!A122</f>
        <v>11.1</v>
      </c>
      <c r="B131" s="877" t="str">
        <f>L_CViec!B122</f>
        <v>Theo hình thức trực tiếp</v>
      </c>
      <c r="C131" s="874" t="str">
        <f>L_CViec!AB122</f>
        <v>Hồ sơ</v>
      </c>
      <c r="D131" s="874">
        <f>L_CViec!AA122</f>
        <v>1</v>
      </c>
      <c r="E131" s="874" t="str">
        <f>L_CViec!AC122</f>
        <v>1KS3</v>
      </c>
      <c r="F131" s="998" t="str">
        <f>L_CViec!AD122</f>
        <v>1-3</v>
      </c>
      <c r="G131" s="874">
        <f>L_CViec!AE122</f>
        <v>0.2</v>
      </c>
      <c r="H131" s="878">
        <f>L_CViec!AF122</f>
        <v>0.2</v>
      </c>
      <c r="I131" s="878">
        <f>L_CViec!AG122</f>
        <v>0.26</v>
      </c>
      <c r="J131" s="876">
        <f>L_CViec!AH122</f>
        <v>333450</v>
      </c>
      <c r="K131" s="876">
        <f t="shared" si="14"/>
        <v>66690</v>
      </c>
      <c r="L131" s="876">
        <f t="shared" si="15"/>
        <v>66690</v>
      </c>
      <c r="M131" s="876">
        <f t="shared" si="16"/>
        <v>86697</v>
      </c>
      <c r="N131" s="1065">
        <f>$D131*G131*L_CBac!$J$68</f>
        <v>5112.9000000000005</v>
      </c>
      <c r="O131" s="1065">
        <f>$D131*H131*L_CBac!$J$68</f>
        <v>5112.9000000000005</v>
      </c>
      <c r="P131" s="1065">
        <f>$D131*I131*L_CBac!$J$68</f>
        <v>6646.77</v>
      </c>
      <c r="Q131" s="1073">
        <f>$D131*G131*L_CBac!$J$69</f>
        <v>5615.3846153846162</v>
      </c>
      <c r="R131" s="899">
        <f>$D131*H131*L_CBac!$J$69</f>
        <v>5615.3846153846162</v>
      </c>
      <c r="S131" s="899">
        <f>$D131*I131*L_CBac!$J$69</f>
        <v>7300.0000000000009</v>
      </c>
    </row>
    <row r="132" spans="1:19" s="85" customFormat="1" ht="15">
      <c r="A132" s="874">
        <f>L_CViec!A123</f>
        <v>11.2</v>
      </c>
      <c r="B132" s="877" t="str">
        <f>L_CViec!B123</f>
        <v>Theo hình thức trực tuyến</v>
      </c>
      <c r="C132" s="874" t="str">
        <f>L_CViec!AB123</f>
        <v>Hồ sơ</v>
      </c>
      <c r="D132" s="874">
        <f>L_CViec!AA123</f>
        <v>1</v>
      </c>
      <c r="E132" s="874" t="str">
        <f>L_CViec!AC123</f>
        <v>1KS3</v>
      </c>
      <c r="F132" s="998" t="str">
        <f>L_CViec!AD123</f>
        <v>1-3</v>
      </c>
      <c r="G132" s="874">
        <f>L_CViec!AE123</f>
        <v>0.15</v>
      </c>
      <c r="H132" s="878">
        <f>L_CViec!AF123</f>
        <v>0.15</v>
      </c>
      <c r="I132" s="878">
        <f>L_CViec!AG123</f>
        <v>0.19500000000000001</v>
      </c>
      <c r="J132" s="876">
        <f>L_CViec!AH123</f>
        <v>333450</v>
      </c>
      <c r="K132" s="876">
        <f t="shared" si="14"/>
        <v>50017.5</v>
      </c>
      <c r="L132" s="876">
        <f t="shared" si="15"/>
        <v>50017.5</v>
      </c>
      <c r="M132" s="876">
        <f t="shared" si="16"/>
        <v>65022.75</v>
      </c>
      <c r="N132" s="1065">
        <f>$D132*G132*L_CBac!$J$68</f>
        <v>3834.6749999999997</v>
      </c>
      <c r="O132" s="1065">
        <f>$D132*H132*L_CBac!$J$68</f>
        <v>3834.6749999999997</v>
      </c>
      <c r="P132" s="1065">
        <f>$D132*I132*L_CBac!$J$68</f>
        <v>4985.0775000000003</v>
      </c>
      <c r="Q132" s="1073">
        <f>$D132*G132*L_CBac!$J$69</f>
        <v>4211.5384615384619</v>
      </c>
      <c r="R132" s="899">
        <f>$D132*H132*L_CBac!$J$69</f>
        <v>4211.5384615384619</v>
      </c>
      <c r="S132" s="899">
        <f>$D132*I132*L_CBac!$J$69</f>
        <v>5475</v>
      </c>
    </row>
    <row r="133" spans="1:19" s="111" customFormat="1" ht="25.5">
      <c r="A133" s="874" t="str">
        <f>L_CViec!A124</f>
        <v>12</v>
      </c>
      <c r="B133" s="877" t="str">
        <f>L_CViec!B124</f>
        <v>Kiểm tra việc đủ điều kiện hay không đủ điều kiện được cấp Giấy chứng nhận</v>
      </c>
      <c r="C133" s="874" t="str">
        <f>L_CViec!AB124</f>
        <v>Hồ sơ</v>
      </c>
      <c r="D133" s="874">
        <f>L_CViec!AA124</f>
        <v>1</v>
      </c>
      <c r="E133" s="874" t="str">
        <f>L_CViec!AC124</f>
        <v>1KS3</v>
      </c>
      <c r="F133" s="998" t="str">
        <f>L_CViec!AD124</f>
        <v>1-3</v>
      </c>
      <c r="G133" s="874">
        <f>L_CViec!AE124</f>
        <v>0.5</v>
      </c>
      <c r="H133" s="878">
        <f>L_CViec!AF124</f>
        <v>0.5</v>
      </c>
      <c r="I133" s="878">
        <f>L_CViec!AG124</f>
        <v>0.65</v>
      </c>
      <c r="J133" s="876">
        <f>L_CViec!AH124</f>
        <v>333450</v>
      </c>
      <c r="K133" s="876">
        <f t="shared" si="14"/>
        <v>166725</v>
      </c>
      <c r="L133" s="876">
        <f t="shared" si="15"/>
        <v>166725</v>
      </c>
      <c r="M133" s="876">
        <f t="shared" si="16"/>
        <v>216742.5</v>
      </c>
      <c r="N133" s="1065">
        <f>$D133*G133*L_CBac!$J$68</f>
        <v>12782.25</v>
      </c>
      <c r="O133" s="1065">
        <f>$D133*H133*L_CBac!$J$68</f>
        <v>12782.25</v>
      </c>
      <c r="P133" s="1065">
        <f>$D133*I133*L_CBac!$J$68</f>
        <v>16616.924999999999</v>
      </c>
      <c r="Q133" s="1002">
        <f>$D133*G133*L_CBac!$J$69</f>
        <v>14038.461538461539</v>
      </c>
      <c r="R133" s="294">
        <f>$D133*H133*L_CBac!$J$69</f>
        <v>14038.461538461539</v>
      </c>
      <c r="S133" s="294">
        <f>$D133*I133*L_CBac!$J$69</f>
        <v>18250</v>
      </c>
    </row>
    <row r="134" spans="1:19" s="111" customFormat="1" ht="15">
      <c r="A134" s="874" t="str">
        <f>L_CViec!A125</f>
        <v>13</v>
      </c>
      <c r="B134" s="877" t="str">
        <f>L_CViec!B125</f>
        <v>Lập Tờ trình trình Chủ tịch UBND cấp xã, phường</v>
      </c>
      <c r="C134" s="874">
        <f>L_CViec!AB125</f>
        <v>0</v>
      </c>
      <c r="D134" s="874">
        <f>L_CViec!AA125</f>
        <v>0</v>
      </c>
      <c r="E134" s="874">
        <f>L_CViec!AC125</f>
        <v>0</v>
      </c>
      <c r="F134" s="998">
        <f>L_CViec!AD125</f>
        <v>0</v>
      </c>
      <c r="G134" s="874">
        <f>L_CViec!AE125</f>
        <v>0</v>
      </c>
      <c r="H134" s="878">
        <f>L_CViec!AF125</f>
        <v>0</v>
      </c>
      <c r="I134" s="878">
        <f>L_CViec!AG125</f>
        <v>0</v>
      </c>
      <c r="J134" s="876">
        <f>L_CViec!AH125</f>
        <v>0</v>
      </c>
      <c r="K134" s="876">
        <f t="shared" si="14"/>
        <v>0</v>
      </c>
      <c r="L134" s="876">
        <f t="shared" si="15"/>
        <v>0</v>
      </c>
      <c r="M134" s="876">
        <f t="shared" si="16"/>
        <v>0</v>
      </c>
      <c r="N134" s="1065">
        <f>$D134*G134*L_CBac!$J$68</f>
        <v>0</v>
      </c>
      <c r="O134" s="1065">
        <f>$D134*H134*L_CBac!$J$68</f>
        <v>0</v>
      </c>
      <c r="P134" s="1065">
        <f>$D134*I134*L_CBac!$J$68</f>
        <v>0</v>
      </c>
      <c r="Q134" s="1002">
        <f>$D134*G134*L_CBac!$J$69</f>
        <v>0</v>
      </c>
      <c r="R134" s="294">
        <f>$D134*H134*L_CBac!$J$69</f>
        <v>0</v>
      </c>
      <c r="S134" s="294">
        <f>$D134*I134*L_CBac!$J$69</f>
        <v>0</v>
      </c>
    </row>
    <row r="135" spans="1:19" s="111" customFormat="1" ht="15">
      <c r="A135" s="874" t="str">
        <f>L_CViec!A126</f>
        <v>13.1</v>
      </c>
      <c r="B135" s="877" t="str">
        <f>L_CViec!B126</f>
        <v>Theo hình thức trực tiếp</v>
      </c>
      <c r="C135" s="874" t="str">
        <f>L_CViec!AB126</f>
        <v>Hồ sơ</v>
      </c>
      <c r="D135" s="874">
        <f>L_CViec!AA126</f>
        <v>1</v>
      </c>
      <c r="E135" s="874" t="str">
        <f>L_CViec!AC126</f>
        <v>1KS3</v>
      </c>
      <c r="F135" s="998" t="str">
        <f>L_CViec!AD126</f>
        <v>1-3</v>
      </c>
      <c r="G135" s="874">
        <f>L_CViec!AE126</f>
        <v>0.05</v>
      </c>
      <c r="H135" s="878">
        <f>L_CViec!AF126</f>
        <v>0.05</v>
      </c>
      <c r="I135" s="878">
        <f>L_CViec!AG126</f>
        <v>6.5000000000000002E-2</v>
      </c>
      <c r="J135" s="876">
        <f>L_CViec!AH126</f>
        <v>333450</v>
      </c>
      <c r="K135" s="876">
        <f t="shared" si="14"/>
        <v>16672.5</v>
      </c>
      <c r="L135" s="876">
        <f t="shared" si="15"/>
        <v>16672.5</v>
      </c>
      <c r="M135" s="876">
        <f t="shared" si="16"/>
        <v>21674.25</v>
      </c>
      <c r="N135" s="1065">
        <f>$D135*G135*L_CBac!$J$68</f>
        <v>1278.2250000000001</v>
      </c>
      <c r="O135" s="1065">
        <f>$D135*H135*L_CBac!$J$68</f>
        <v>1278.2250000000001</v>
      </c>
      <c r="P135" s="1065">
        <f>$D135*I135*L_CBac!$J$68</f>
        <v>1661.6925000000001</v>
      </c>
      <c r="Q135" s="1002">
        <f>$D135*G135*L_CBac!$J$69</f>
        <v>1403.846153846154</v>
      </c>
      <c r="R135" s="294">
        <f>$D135*H135*L_CBac!$J$69</f>
        <v>1403.846153846154</v>
      </c>
      <c r="S135" s="294">
        <f>$D135*I135*L_CBac!$J$69</f>
        <v>1825.0000000000002</v>
      </c>
    </row>
    <row r="136" spans="1:19" s="85" customFormat="1" ht="15">
      <c r="A136" s="874" t="str">
        <f>L_CViec!A127</f>
        <v>13.2</v>
      </c>
      <c r="B136" s="877" t="str">
        <f>L_CViec!B127</f>
        <v>Theo hình thức trực tuyến</v>
      </c>
      <c r="C136" s="874" t="str">
        <f>L_CViec!AB127</f>
        <v>Hồ sơ</v>
      </c>
      <c r="D136" s="874">
        <f>L_CViec!AA127</f>
        <v>1</v>
      </c>
      <c r="E136" s="874" t="str">
        <f>L_CViec!AC127</f>
        <v>1KS3</v>
      </c>
      <c r="F136" s="998" t="str">
        <f>L_CViec!AD127</f>
        <v>1-3</v>
      </c>
      <c r="G136" s="874">
        <f>L_CViec!AE127</f>
        <v>2.5000000000000001E-2</v>
      </c>
      <c r="H136" s="878">
        <f>L_CViec!AF127</f>
        <v>2.5000000000000001E-2</v>
      </c>
      <c r="I136" s="878">
        <f>L_CViec!AG127</f>
        <v>3.3000000000000002E-2</v>
      </c>
      <c r="J136" s="876">
        <f>L_CViec!AH127</f>
        <v>333450</v>
      </c>
      <c r="K136" s="876">
        <f t="shared" si="14"/>
        <v>8336.25</v>
      </c>
      <c r="L136" s="876">
        <f t="shared" si="15"/>
        <v>8336.25</v>
      </c>
      <c r="M136" s="876">
        <f t="shared" si="16"/>
        <v>11003.85</v>
      </c>
      <c r="N136" s="1065">
        <f>$D136*G136*L_CBac!$J$68</f>
        <v>639.11250000000007</v>
      </c>
      <c r="O136" s="1065">
        <f>$D136*H136*L_CBac!$J$68</f>
        <v>639.11250000000007</v>
      </c>
      <c r="P136" s="1065">
        <f>$D136*I136*L_CBac!$J$68</f>
        <v>843.62850000000003</v>
      </c>
      <c r="Q136" s="1002"/>
      <c r="R136" s="294"/>
      <c r="S136" s="294"/>
    </row>
    <row r="137" spans="1:19" s="111" customFormat="1" ht="24" customHeight="1">
      <c r="A137" s="874" t="str">
        <f>L_CViec!A128</f>
        <v>14</v>
      </c>
      <c r="B137" s="877" t="str">
        <f>L_CViec!B128</f>
        <v>Quyết định hình thức sử dụng đất đối với tổ chức</v>
      </c>
      <c r="C137" s="874" t="str">
        <f>L_CViec!AB128</f>
        <v>Hồ sơ</v>
      </c>
      <c r="D137" s="874">
        <f>L_CViec!AA128</f>
        <v>1</v>
      </c>
      <c r="E137" s="874" t="str">
        <f>L_CViec!AC128</f>
        <v>1KS3</v>
      </c>
      <c r="F137" s="998" t="str">
        <f>L_CViec!AD128</f>
        <v>1-3</v>
      </c>
      <c r="G137" s="874">
        <f>L_CViec!AE128</f>
        <v>0.05</v>
      </c>
      <c r="H137" s="878">
        <f>L_CViec!AF128</f>
        <v>0.05</v>
      </c>
      <c r="I137" s="878">
        <f>L_CViec!AG128</f>
        <v>0.05</v>
      </c>
      <c r="J137" s="876">
        <f>L_CViec!AH128</f>
        <v>333450</v>
      </c>
      <c r="K137" s="876">
        <f t="shared" si="14"/>
        <v>16672.5</v>
      </c>
      <c r="L137" s="876">
        <f t="shared" si="15"/>
        <v>16672.5</v>
      </c>
      <c r="M137" s="876">
        <f t="shared" si="16"/>
        <v>16672.5</v>
      </c>
      <c r="N137" s="1065">
        <f>$D137*G137*L_CBac!$J$68</f>
        <v>1278.2250000000001</v>
      </c>
      <c r="O137" s="1065">
        <f>$D137*H137*L_CBac!$J$68</f>
        <v>1278.2250000000001</v>
      </c>
      <c r="P137" s="1065">
        <f>$D137*I137*L_CBac!$J$68</f>
        <v>1278.2250000000001</v>
      </c>
      <c r="Q137" s="1002">
        <f>$D137*G137*L_CBac!$J$69</f>
        <v>1403.846153846154</v>
      </c>
      <c r="R137" s="294">
        <f>$D137*H137*L_CBac!$J$69</f>
        <v>1403.846153846154</v>
      </c>
      <c r="S137" s="294">
        <f>$D137*I137*L_CBac!$J$69</f>
        <v>1403.846153846154</v>
      </c>
    </row>
    <row r="138" spans="1:19" s="111" customFormat="1" ht="24" customHeight="1">
      <c r="A138" s="874" t="str">
        <f>L_CViec!A129</f>
        <v>15</v>
      </c>
      <c r="B138" s="877" t="str">
        <f>L_CViec!B129</f>
        <v>Ban hành Thông báo xác nhận kết quả đăng ký đất đai đối với trường hợp không có nhu cầu hoặc không đủ điều kiện cấp Giấy chứng nhận</v>
      </c>
      <c r="C138" s="874" t="str">
        <f>L_CViec!AB129</f>
        <v>Hồ sơ</v>
      </c>
      <c r="D138" s="874">
        <f>L_CViec!AA129</f>
        <v>1</v>
      </c>
      <c r="E138" s="874" t="str">
        <f>L_CViec!AC129</f>
        <v>1KS2</v>
      </c>
      <c r="F138" s="998" t="str">
        <f>L_CViec!AD129</f>
        <v>1-3</v>
      </c>
      <c r="G138" s="874">
        <f>L_CViec!AE129</f>
        <v>0.2</v>
      </c>
      <c r="H138" s="878">
        <f>L_CViec!AF129</f>
        <v>0.2</v>
      </c>
      <c r="I138" s="878">
        <f>L_CViec!AG129</f>
        <v>0.2</v>
      </c>
      <c r="J138" s="876">
        <f>L_CViec!AH129</f>
        <v>296770.5</v>
      </c>
      <c r="K138" s="876">
        <f t="shared" si="14"/>
        <v>59354.100000000006</v>
      </c>
      <c r="L138" s="876">
        <f t="shared" si="15"/>
        <v>59354.100000000006</v>
      </c>
      <c r="M138" s="876">
        <f t="shared" si="16"/>
        <v>59354.100000000006</v>
      </c>
      <c r="N138" s="1065">
        <f>$D138*G138*L_CBac!$J$68</f>
        <v>5112.9000000000005</v>
      </c>
      <c r="O138" s="1065">
        <f>$D138*H138*L_CBac!$J$68</f>
        <v>5112.9000000000005</v>
      </c>
      <c r="P138" s="1065">
        <f>$D138*I138*L_CBac!$J$68</f>
        <v>5112.9000000000005</v>
      </c>
      <c r="Q138" s="1002">
        <f>$D138*G138*L_CBac!$J$69</f>
        <v>5615.3846153846162</v>
      </c>
      <c r="R138" s="294">
        <f>$D138*H138*L_CBac!$J$69</f>
        <v>5615.3846153846162</v>
      </c>
      <c r="S138" s="294">
        <f>$D138*I138*L_CBac!$J$69</f>
        <v>5615.3846153846162</v>
      </c>
    </row>
    <row r="139" spans="1:19" s="85" customFormat="1" ht="51" customHeight="1">
      <c r="A139" s="874">
        <f>L_CViec!A130</f>
        <v>16</v>
      </c>
      <c r="B139" s="877" t="str">
        <f>L_CViec!B130</f>
        <v>Chuyển Thông báo xác nhận kết quả đăng ký đất đai đến Bộ phận một cửa hoặc chuyển Giấy chứng nhận thông qua dịch vụ bưu chính công ích để trao cho người sử dụng đất</v>
      </c>
      <c r="C139" s="874" t="str">
        <f>L_CViec!AB130</f>
        <v>Hồ sơ</v>
      </c>
      <c r="D139" s="874">
        <f>L_CViec!AA130</f>
        <v>1</v>
      </c>
      <c r="E139" s="874" t="str">
        <f>L_CViec!AC130</f>
        <v>1KS2</v>
      </c>
      <c r="F139" s="998" t="str">
        <f>L_CViec!AD130</f>
        <v>1-3</v>
      </c>
      <c r="G139" s="874">
        <f>L_CViec!AE130</f>
        <v>0.05</v>
      </c>
      <c r="H139" s="878">
        <f>L_CViec!AF130</f>
        <v>0.05</v>
      </c>
      <c r="I139" s="878">
        <f>L_CViec!AG130</f>
        <v>0.05</v>
      </c>
      <c r="J139" s="876">
        <f>L_CViec!AH130</f>
        <v>296770.5</v>
      </c>
      <c r="K139" s="876">
        <f t="shared" si="14"/>
        <v>14838.525000000001</v>
      </c>
      <c r="L139" s="876">
        <f t="shared" si="15"/>
        <v>14838.525000000001</v>
      </c>
      <c r="M139" s="876">
        <f t="shared" si="16"/>
        <v>14838.525000000001</v>
      </c>
      <c r="N139" s="1065">
        <f>$D139*G139*L_CBac!$J$68</f>
        <v>1278.2250000000001</v>
      </c>
      <c r="O139" s="1065">
        <f>$D139*H139*L_CBac!$J$68</f>
        <v>1278.2250000000001</v>
      </c>
      <c r="P139" s="1065">
        <f>$D139*I139*L_CBac!$J$68</f>
        <v>1278.2250000000001</v>
      </c>
      <c r="Q139" s="1002">
        <f>$D139*G139*L_CBac!$J$69</f>
        <v>1403.846153846154</v>
      </c>
      <c r="R139" s="294">
        <f>$D139*H139*L_CBac!$J$69</f>
        <v>1403.846153846154</v>
      </c>
      <c r="S139" s="294">
        <f>$D139*I139*L_CBac!$J$69</f>
        <v>1403.846153846154</v>
      </c>
    </row>
    <row r="140" spans="1:19" s="85" customFormat="1" ht="25.5">
      <c r="A140" s="874" t="str">
        <f>L_CViec!A131</f>
        <v>17</v>
      </c>
      <c r="B140" s="877" t="str">
        <f>L_CViec!B131</f>
        <v>Chuyển hồ sơ đến Văn phòng đăng ký đất đai để cập nhật, chỉnh lý hồ sơ địa chính, cơ sở dữ liệu đất đai.</v>
      </c>
      <c r="C140" s="874" t="str">
        <f>L_CViec!AB131</f>
        <v>Hồ sơ</v>
      </c>
      <c r="D140" s="874">
        <f>L_CViec!AA131</f>
        <v>1</v>
      </c>
      <c r="E140" s="874" t="str">
        <f>L_CViec!AC131</f>
        <v>1KS2</v>
      </c>
      <c r="F140" s="998" t="str">
        <f>L_CViec!AD131</f>
        <v>1-3</v>
      </c>
      <c r="G140" s="874">
        <f>L_CViec!AE131</f>
        <v>0.05</v>
      </c>
      <c r="H140" s="878">
        <f>L_CViec!AF131</f>
        <v>0.05</v>
      </c>
      <c r="I140" s="878">
        <f>L_CViec!AG131</f>
        <v>0.05</v>
      </c>
      <c r="J140" s="876">
        <f>L_CViec!AH131</f>
        <v>296770.5</v>
      </c>
      <c r="K140" s="876">
        <f t="shared" si="14"/>
        <v>14838.525000000001</v>
      </c>
      <c r="L140" s="876">
        <f t="shared" si="15"/>
        <v>14838.525000000001</v>
      </c>
      <c r="M140" s="876">
        <f t="shared" si="16"/>
        <v>14838.525000000001</v>
      </c>
      <c r="N140" s="1065">
        <f>$D140*G140*L_CBac!$J$68</f>
        <v>1278.2250000000001</v>
      </c>
      <c r="O140" s="1065">
        <f>$D140*H140*L_CBac!$J$68</f>
        <v>1278.2250000000001</v>
      </c>
      <c r="P140" s="1065">
        <f>$D140*I140*L_CBac!$J$68</f>
        <v>1278.2250000000001</v>
      </c>
      <c r="Q140" s="1002">
        <f>$D140*G140*L_CBac!$J$69</f>
        <v>1403.846153846154</v>
      </c>
      <c r="R140" s="294">
        <f>$D140*H140*L_CBac!$J$69</f>
        <v>1403.846153846154</v>
      </c>
      <c r="S140" s="294">
        <f>$D140*I140*L_CBac!$J$69</f>
        <v>1403.846153846154</v>
      </c>
    </row>
    <row r="141" spans="1:19" s="471" customFormat="1" ht="15">
      <c r="A141" s="874">
        <f>L_CViec!A132</f>
        <v>18</v>
      </c>
      <c r="B141" s="877" t="str">
        <f>L_CViec!B132</f>
        <v>Quyết định hình thức sử dụng đất đối với tổ chức</v>
      </c>
      <c r="C141" s="874" t="str">
        <f>L_CViec!AB132</f>
        <v>Hồ sơ</v>
      </c>
      <c r="D141" s="874">
        <f>L_CViec!AA132</f>
        <v>1</v>
      </c>
      <c r="E141" s="874" t="str">
        <f>L_CViec!AC132</f>
        <v>1KS3</v>
      </c>
      <c r="F141" s="998" t="str">
        <f>L_CViec!AD132</f>
        <v>1-3</v>
      </c>
      <c r="G141" s="874">
        <f>L_CViec!AE132</f>
        <v>0.05</v>
      </c>
      <c r="H141" s="878">
        <f>L_CViec!AF132</f>
        <v>0.05</v>
      </c>
      <c r="I141" s="878">
        <f>L_CViec!AG132</f>
        <v>0.5</v>
      </c>
      <c r="J141" s="876">
        <f>L_CViec!AH132</f>
        <v>333450</v>
      </c>
      <c r="K141" s="876">
        <f t="shared" si="14"/>
        <v>16672.5</v>
      </c>
      <c r="L141" s="876">
        <f t="shared" si="15"/>
        <v>16672.5</v>
      </c>
      <c r="M141" s="876">
        <f t="shared" si="16"/>
        <v>166725</v>
      </c>
      <c r="N141" s="1065">
        <f>$D141*G141*L_CBac!$J$68</f>
        <v>1278.2250000000001</v>
      </c>
      <c r="O141" s="1065">
        <f>$D141*H141*L_CBac!$J$68</f>
        <v>1278.2250000000001</v>
      </c>
      <c r="P141" s="1065">
        <f>$D141*I141*L_CBac!$J$68</f>
        <v>12782.25</v>
      </c>
      <c r="Q141" s="1002">
        <f>$D141*G141*L_CBac!$J$69</f>
        <v>1403.846153846154</v>
      </c>
      <c r="R141" s="294">
        <f>$D141*H141*L_CBac!$J$69</f>
        <v>1403.846153846154</v>
      </c>
      <c r="S141" s="294">
        <f>$D141*I141*L_CBac!$J$69</f>
        <v>14038.461538461539</v>
      </c>
    </row>
    <row r="142" spans="1:19" s="85" customFormat="1" ht="38.25">
      <c r="A142" s="874">
        <f>L_CViec!A133</f>
        <v>19</v>
      </c>
      <c r="B142" s="877" t="str">
        <f>L_CViec!B133</f>
        <v>Lập, gửi Phiếu chuyển thông tin xác định nghĩa vụ tài chính đối với trường hợp có nhu cầu cấp Giấy chứng nhận và đủ điều kiện</v>
      </c>
      <c r="C142" s="874">
        <f>L_CViec!AB133</f>
        <v>0</v>
      </c>
      <c r="D142" s="874">
        <f>L_CViec!AA133</f>
        <v>0</v>
      </c>
      <c r="E142" s="874">
        <f>L_CViec!AC133</f>
        <v>0</v>
      </c>
      <c r="F142" s="998">
        <f>L_CViec!AD133</f>
        <v>0</v>
      </c>
      <c r="G142" s="874">
        <f>L_CViec!AE133</f>
        <v>0</v>
      </c>
      <c r="H142" s="878">
        <f>L_CViec!AF133</f>
        <v>0</v>
      </c>
      <c r="I142" s="878">
        <f>L_CViec!AG133</f>
        <v>0</v>
      </c>
      <c r="J142" s="876">
        <f>L_CViec!AH133</f>
        <v>0</v>
      </c>
      <c r="K142" s="876">
        <f t="shared" si="14"/>
        <v>0</v>
      </c>
      <c r="L142" s="876">
        <f t="shared" si="15"/>
        <v>0</v>
      </c>
      <c r="M142" s="876">
        <f t="shared" si="16"/>
        <v>0</v>
      </c>
      <c r="N142" s="1065">
        <f>$D142*G142*L_CBac!$J$68</f>
        <v>0</v>
      </c>
      <c r="O142" s="1065">
        <f>$D142*H142*L_CBac!$J$68</f>
        <v>0</v>
      </c>
      <c r="P142" s="1065">
        <f>$D142*I142*L_CBac!$J$68</f>
        <v>0</v>
      </c>
      <c r="Q142" s="1002">
        <f>$D142*G142*L_CBac!$J$69</f>
        <v>0</v>
      </c>
      <c r="R142" s="294">
        <f>$D142*H142*L_CBac!$J$69</f>
        <v>0</v>
      </c>
      <c r="S142" s="294">
        <f>$D142*I142*L_CBac!$J$69</f>
        <v>0</v>
      </c>
    </row>
    <row r="143" spans="1:19" s="85" customFormat="1" ht="15">
      <c r="A143" s="874">
        <f>L_CViec!A134</f>
        <v>19.100000000000001</v>
      </c>
      <c r="B143" s="877" t="str">
        <f>L_CViec!B134</f>
        <v>Chuyển thông tin theo hình thức liên thông</v>
      </c>
      <c r="C143" s="874" t="str">
        <f>L_CViec!AB134</f>
        <v>Hồ sơ</v>
      </c>
      <c r="D143" s="874">
        <f>L_CViec!AA134</f>
        <v>1</v>
      </c>
      <c r="E143" s="874" t="str">
        <f>L_CViec!AC134</f>
        <v>1KS3</v>
      </c>
      <c r="F143" s="998" t="str">
        <f>L_CViec!AD134</f>
        <v>1-3</v>
      </c>
      <c r="G143" s="874">
        <f>L_CViec!AE134</f>
        <v>0.1</v>
      </c>
      <c r="H143" s="878">
        <f>L_CViec!AF134</f>
        <v>0.1</v>
      </c>
      <c r="I143" s="878">
        <f>L_CViec!AG134</f>
        <v>0.13</v>
      </c>
      <c r="J143" s="876">
        <f>L_CViec!AH134</f>
        <v>333450</v>
      </c>
      <c r="K143" s="876">
        <f t="shared" si="14"/>
        <v>33345</v>
      </c>
      <c r="L143" s="876">
        <f t="shared" si="15"/>
        <v>33345</v>
      </c>
      <c r="M143" s="876">
        <f t="shared" si="16"/>
        <v>43348.5</v>
      </c>
      <c r="N143" s="1065">
        <f>$D143*G143*L_CBac!$J$68</f>
        <v>2556.4500000000003</v>
      </c>
      <c r="O143" s="1065">
        <f>$D143*H143*L_CBac!$J$68</f>
        <v>2556.4500000000003</v>
      </c>
      <c r="P143" s="1065">
        <f>$D143*I143*L_CBac!$J$68</f>
        <v>3323.3850000000002</v>
      </c>
      <c r="Q143" s="1002">
        <f>$D143*G143*L_CBac!$J$69</f>
        <v>2807.6923076923081</v>
      </c>
      <c r="R143" s="294">
        <f>$D143*H143*L_CBac!$J$69</f>
        <v>2807.6923076923081</v>
      </c>
      <c r="S143" s="294">
        <f>$D143*I143*L_CBac!$J$69</f>
        <v>3650.0000000000005</v>
      </c>
    </row>
    <row r="144" spans="1:19" s="111" customFormat="1" ht="15">
      <c r="A144" s="874">
        <f>L_CViec!A135</f>
        <v>19.2</v>
      </c>
      <c r="B144" s="877" t="str">
        <f>L_CViec!B135</f>
        <v>Chuyển thông tin theo hình thức trực tiếp</v>
      </c>
      <c r="C144" s="874" t="str">
        <f>L_CViec!AB135</f>
        <v>Hồ sơ</v>
      </c>
      <c r="D144" s="874">
        <f>L_CViec!AA135</f>
        <v>1</v>
      </c>
      <c r="E144" s="874" t="str">
        <f>L_CViec!AC135</f>
        <v>1KS3</v>
      </c>
      <c r="F144" s="998" t="str">
        <f>L_CViec!AD135</f>
        <v>1-3</v>
      </c>
      <c r="G144" s="874">
        <f>L_CViec!AE135</f>
        <v>0.2</v>
      </c>
      <c r="H144" s="878">
        <f>L_CViec!AF135</f>
        <v>0.2</v>
      </c>
      <c r="I144" s="878">
        <f>L_CViec!AG135</f>
        <v>0.26</v>
      </c>
      <c r="J144" s="876">
        <f>L_CViec!AH135</f>
        <v>333450</v>
      </c>
      <c r="K144" s="876">
        <f t="shared" si="14"/>
        <v>66690</v>
      </c>
      <c r="L144" s="876">
        <f t="shared" si="15"/>
        <v>66690</v>
      </c>
      <c r="M144" s="876">
        <f t="shared" si="16"/>
        <v>86697</v>
      </c>
      <c r="N144" s="1065">
        <f>$D144*G144*L_CBac!$J$68</f>
        <v>5112.9000000000005</v>
      </c>
      <c r="O144" s="1065">
        <f>$D144*H144*L_CBac!$J$68</f>
        <v>5112.9000000000005</v>
      </c>
      <c r="P144" s="1065">
        <f>$D144*I144*L_CBac!$J$68</f>
        <v>6646.77</v>
      </c>
      <c r="Q144" s="1002">
        <f>$D144*G144*L_CBac!$J$69</f>
        <v>5615.3846153846162</v>
      </c>
      <c r="R144" s="294">
        <f>$D144*H144*L_CBac!$J$69</f>
        <v>5615.3846153846162</v>
      </c>
      <c r="S144" s="294">
        <f>$D144*I144*L_CBac!$J$69</f>
        <v>7300.0000000000009</v>
      </c>
    </row>
    <row r="145" spans="1:19" s="111" customFormat="1" ht="25.5">
      <c r="A145" s="874">
        <f>L_CViec!A136</f>
        <v>20</v>
      </c>
      <c r="B145" s="877" t="str">
        <f>L_CViec!B136</f>
        <v>Nhận thông báo hoàn thành nghĩa vụ tài chính từ cơ quan thuế hoặc được ghi nợ nghĩa vụ tài chính</v>
      </c>
      <c r="C145" s="874">
        <f>L_CViec!AB136</f>
        <v>0</v>
      </c>
      <c r="D145" s="874">
        <f>L_CViec!AA136</f>
        <v>0</v>
      </c>
      <c r="E145" s="874">
        <f>L_CViec!AC136</f>
        <v>0</v>
      </c>
      <c r="F145" s="998">
        <f>L_CViec!AD136</f>
        <v>0</v>
      </c>
      <c r="G145" s="874">
        <f>L_CViec!AE136</f>
        <v>0</v>
      </c>
      <c r="H145" s="878">
        <f>L_CViec!AF136</f>
        <v>0</v>
      </c>
      <c r="I145" s="878">
        <f>L_CViec!AG136</f>
        <v>0</v>
      </c>
      <c r="J145" s="876">
        <f>L_CViec!AH136</f>
        <v>0</v>
      </c>
      <c r="K145" s="876">
        <f t="shared" si="14"/>
        <v>0</v>
      </c>
      <c r="L145" s="876">
        <f t="shared" si="15"/>
        <v>0</v>
      </c>
      <c r="M145" s="876">
        <f t="shared" si="16"/>
        <v>0</v>
      </c>
      <c r="N145" s="1065">
        <f>$D145*G145*L_CBac!$J$68</f>
        <v>0</v>
      </c>
      <c r="O145" s="1065">
        <f>$D145*H145*L_CBac!$J$68</f>
        <v>0</v>
      </c>
      <c r="P145" s="1065">
        <f>$D145*I145*L_CBac!$J$68</f>
        <v>0</v>
      </c>
      <c r="Q145" s="1002">
        <f>$D145*G145*L_CBac!$J$69</f>
        <v>0</v>
      </c>
      <c r="R145" s="294">
        <f>$D145*H145*L_CBac!$J$69</f>
        <v>0</v>
      </c>
      <c r="S145" s="294">
        <f>$D145*I145*L_CBac!$J$69</f>
        <v>0</v>
      </c>
    </row>
    <row r="146" spans="1:19" s="902" customFormat="1" ht="24.75" customHeight="1">
      <c r="A146" s="874">
        <f>L_CViec!A137</f>
        <v>20.100000000000001</v>
      </c>
      <c r="B146" s="877" t="str">
        <f>L_CViec!B137</f>
        <v>Chuyển thông tin theo hình thức trực tiếp</v>
      </c>
      <c r="C146" s="874" t="str">
        <f>L_CViec!AB137</f>
        <v>Hồ sơ</v>
      </c>
      <c r="D146" s="874">
        <f>L_CViec!AA137</f>
        <v>1</v>
      </c>
      <c r="E146" s="874" t="str">
        <f>L_CViec!AC137</f>
        <v>1KS3</v>
      </c>
      <c r="F146" s="998" t="str">
        <f>L_CViec!AD137</f>
        <v>1-3</v>
      </c>
      <c r="G146" s="874">
        <f>L_CViec!AE137</f>
        <v>0.1</v>
      </c>
      <c r="H146" s="878">
        <f>L_CViec!AF137</f>
        <v>0.1</v>
      </c>
      <c r="I146" s="878">
        <f>L_CViec!AG137</f>
        <v>0.13</v>
      </c>
      <c r="J146" s="876">
        <f>L_CViec!AH137</f>
        <v>333450</v>
      </c>
      <c r="K146" s="876">
        <f t="shared" si="14"/>
        <v>33345</v>
      </c>
      <c r="L146" s="876">
        <f t="shared" si="15"/>
        <v>33345</v>
      </c>
      <c r="M146" s="876">
        <f t="shared" si="16"/>
        <v>43348.5</v>
      </c>
      <c r="N146" s="1065">
        <f>$D146*G146*L_CBac!$J$68</f>
        <v>2556.4500000000003</v>
      </c>
      <c r="O146" s="1065">
        <f>$D146*H146*L_CBac!$J$68</f>
        <v>2556.4500000000003</v>
      </c>
      <c r="P146" s="1065">
        <f>$D146*I146*L_CBac!$J$68</f>
        <v>3323.3850000000002</v>
      </c>
      <c r="Q146" s="1075">
        <f>$D146*G146*L_CBac!$J$69</f>
        <v>2807.6923076923081</v>
      </c>
      <c r="R146" s="294">
        <f>$D146*H146*L_CBac!$J$69</f>
        <v>2807.6923076923081</v>
      </c>
      <c r="S146" s="903">
        <f>$D146*I146*L_CBac!$J$69</f>
        <v>3650.0000000000005</v>
      </c>
    </row>
    <row r="147" spans="1:19" s="85" customFormat="1" ht="15">
      <c r="A147" s="874">
        <f>L_CViec!A138</f>
        <v>20.2</v>
      </c>
      <c r="B147" s="877" t="str">
        <f>L_CViec!B138</f>
        <v>Chuyển thông tin theo hình thức liên thông</v>
      </c>
      <c r="C147" s="874" t="str">
        <f>L_CViec!AB138</f>
        <v>Hồ sơ</v>
      </c>
      <c r="D147" s="874">
        <f>L_CViec!AA138</f>
        <v>1</v>
      </c>
      <c r="E147" s="874" t="str">
        <f>L_CViec!AC138</f>
        <v>1KS3</v>
      </c>
      <c r="F147" s="998" t="str">
        <f>L_CViec!AD138</f>
        <v>1-3</v>
      </c>
      <c r="G147" s="874">
        <f>L_CViec!AE138</f>
        <v>0.2</v>
      </c>
      <c r="H147" s="878">
        <f>L_CViec!AF138</f>
        <v>0.2</v>
      </c>
      <c r="I147" s="878">
        <f>L_CViec!AG138</f>
        <v>0.26</v>
      </c>
      <c r="J147" s="876">
        <f>L_CViec!AH138</f>
        <v>333450</v>
      </c>
      <c r="K147" s="876">
        <f t="shared" si="14"/>
        <v>66690</v>
      </c>
      <c r="L147" s="876">
        <f t="shared" si="15"/>
        <v>66690</v>
      </c>
      <c r="M147" s="876">
        <f t="shared" si="16"/>
        <v>86697</v>
      </c>
      <c r="N147" s="1065">
        <f>$D147*G147*L_CBac!$J$68</f>
        <v>5112.9000000000005</v>
      </c>
      <c r="O147" s="1065">
        <f>$D147*H147*L_CBac!$J$68</f>
        <v>5112.9000000000005</v>
      </c>
      <c r="P147" s="1065">
        <f>$D147*I147*L_CBac!$J$68</f>
        <v>6646.77</v>
      </c>
      <c r="Q147" s="1002"/>
      <c r="R147" s="294"/>
      <c r="S147" s="294"/>
    </row>
    <row r="148" spans="1:19" s="111" customFormat="1" ht="25.5">
      <c r="A148" s="874">
        <f>L_CViec!A139</f>
        <v>21</v>
      </c>
      <c r="B148" s="877" t="str">
        <f>L_CViec!B139</f>
        <v xml:space="preserve">Nhập thông tin về nghĩa vụ tài chính, đăng ký vào hồ sơ địa chính </v>
      </c>
      <c r="C148" s="874" t="str">
        <f>L_CViec!AB139</f>
        <v>Hồ sơ</v>
      </c>
      <c r="D148" s="874">
        <f>L_CViec!AA139</f>
        <v>1</v>
      </c>
      <c r="E148" s="874" t="str">
        <f>L_CViec!AC139</f>
        <v>1KS3</v>
      </c>
      <c r="F148" s="998" t="str">
        <f>L_CViec!AD139</f>
        <v>1-3</v>
      </c>
      <c r="G148" s="874">
        <f>L_CViec!AE139</f>
        <v>0.03</v>
      </c>
      <c r="H148" s="878">
        <f>L_CViec!AF139</f>
        <v>0.03</v>
      </c>
      <c r="I148" s="878">
        <f>L_CViec!AG139</f>
        <v>0.03</v>
      </c>
      <c r="J148" s="876">
        <f>L_CViec!AH139</f>
        <v>333450</v>
      </c>
      <c r="K148" s="876">
        <f t="shared" si="14"/>
        <v>10003.5</v>
      </c>
      <c r="L148" s="876">
        <f t="shared" si="15"/>
        <v>10003.5</v>
      </c>
      <c r="M148" s="876">
        <f t="shared" si="16"/>
        <v>10003.5</v>
      </c>
      <c r="N148" s="1065">
        <f>$D148*G148*L_CBac!$J$68</f>
        <v>766.93499999999995</v>
      </c>
      <c r="O148" s="1065">
        <f>$D148*H148*L_CBac!$J$68</f>
        <v>766.93499999999995</v>
      </c>
      <c r="P148" s="1065">
        <f>$D148*I148*L_CBac!$J$68</f>
        <v>766.93499999999995</v>
      </c>
      <c r="Q148" s="1002">
        <f>$D148*G148*L_CBac!$J$69</f>
        <v>842.30769230769226</v>
      </c>
      <c r="R148" s="294">
        <f>$D148*H148*L_CBac!$J$69</f>
        <v>842.30769230769226</v>
      </c>
      <c r="S148" s="294">
        <f>$D148*I148*L_CBac!$J$69</f>
        <v>842.30769230769226</v>
      </c>
    </row>
    <row r="149" spans="1:19" s="111" customFormat="1" ht="15">
      <c r="A149" s="874">
        <f>L_CViec!A140</f>
        <v>22</v>
      </c>
      <c r="B149" s="877" t="str">
        <f>L_CViec!B140</f>
        <v>Chuẩn bị hợp đồng cho thuê đất (nếu có)</v>
      </c>
      <c r="C149" s="874" t="str">
        <f>L_CViec!AB140</f>
        <v>Hợp đồng</v>
      </c>
      <c r="D149" s="874">
        <f>L_CViec!AA140</f>
        <v>1</v>
      </c>
      <c r="E149" s="874" t="str">
        <f>L_CViec!AC140</f>
        <v>1KS3</v>
      </c>
      <c r="F149" s="998" t="str">
        <f>L_CViec!AD140</f>
        <v>1-3</v>
      </c>
      <c r="G149" s="874">
        <f>L_CViec!AE140</f>
        <v>0.2</v>
      </c>
      <c r="H149" s="878">
        <f>L_CViec!AF140</f>
        <v>0.2</v>
      </c>
      <c r="I149" s="878">
        <f>L_CViec!AG140</f>
        <v>0.2</v>
      </c>
      <c r="J149" s="876">
        <f>L_CViec!AH140</f>
        <v>333450</v>
      </c>
      <c r="K149" s="876">
        <f t="shared" si="14"/>
        <v>66690</v>
      </c>
      <c r="L149" s="876">
        <f t="shared" si="15"/>
        <v>66690</v>
      </c>
      <c r="M149" s="876">
        <f t="shared" si="16"/>
        <v>66690</v>
      </c>
      <c r="N149" s="1065">
        <f>$D149*G149*L_CBac!$J$68</f>
        <v>5112.9000000000005</v>
      </c>
      <c r="O149" s="1065">
        <f>$D149*H149*L_CBac!$J$68</f>
        <v>5112.9000000000005</v>
      </c>
      <c r="P149" s="1065">
        <f>$D149*I149*L_CBac!$J$68</f>
        <v>5112.9000000000005</v>
      </c>
      <c r="Q149" s="1002">
        <f>$D149*G149*L_CBac!$J$69</f>
        <v>5615.3846153846162</v>
      </c>
      <c r="R149" s="294">
        <f>$D149*H149*L_CBac!$J$69</f>
        <v>5615.3846153846162</v>
      </c>
      <c r="S149" s="294">
        <f>$D149*I149*L_CBac!$J$69</f>
        <v>5615.3846153846162</v>
      </c>
    </row>
    <row r="150" spans="1:19" s="85" customFormat="1" ht="15">
      <c r="A150" s="874">
        <f>L_CViec!A141</f>
        <v>23</v>
      </c>
      <c r="B150" s="877" t="str">
        <f>L_CViec!B141</f>
        <v>In GCN</v>
      </c>
      <c r="C150" s="874">
        <f>L_CViec!AB141</f>
        <v>0</v>
      </c>
      <c r="D150" s="874">
        <f>L_CViec!AA141</f>
        <v>0</v>
      </c>
      <c r="E150" s="874">
        <f>L_CViec!AC141</f>
        <v>0</v>
      </c>
      <c r="F150" s="998">
        <f>L_CViec!AD141</f>
        <v>0</v>
      </c>
      <c r="G150" s="874">
        <f>L_CViec!AE141</f>
        <v>0</v>
      </c>
      <c r="H150" s="878">
        <f>L_CViec!AF141</f>
        <v>0</v>
      </c>
      <c r="I150" s="878">
        <f>L_CViec!AG141</f>
        <v>0</v>
      </c>
      <c r="J150" s="876">
        <f>L_CViec!AH141</f>
        <v>0</v>
      </c>
      <c r="K150" s="876">
        <f t="shared" si="14"/>
        <v>0</v>
      </c>
      <c r="L150" s="876">
        <f t="shared" si="15"/>
        <v>0</v>
      </c>
      <c r="M150" s="876">
        <f t="shared" si="16"/>
        <v>0</v>
      </c>
      <c r="N150" s="1065">
        <f>$D150*G150*L_CBac!$J$68</f>
        <v>0</v>
      </c>
      <c r="O150" s="1065">
        <f>$D150*H150*L_CBac!$J$68</f>
        <v>0</v>
      </c>
      <c r="P150" s="1065">
        <f>$D150*I150*L_CBac!$J$68</f>
        <v>0</v>
      </c>
      <c r="Q150" s="1002">
        <f>$D150*G150*L_CBac!$J$69</f>
        <v>0</v>
      </c>
      <c r="R150" s="294">
        <f>$D150*H150*L_CBac!$J$69</f>
        <v>0</v>
      </c>
      <c r="S150" s="294">
        <f>$D150*I150*L_CBac!$J$69</f>
        <v>0</v>
      </c>
    </row>
    <row r="151" spans="1:19" s="85" customFormat="1" ht="15">
      <c r="A151" s="874">
        <f>L_CViec!A142</f>
        <v>23.1</v>
      </c>
      <c r="B151" s="877" t="str">
        <f>L_CViec!B142</f>
        <v xml:space="preserve">Trực tiếp từ cơ sở dữ liệu dạng số </v>
      </c>
      <c r="C151" s="874" t="str">
        <f>L_CViec!AB142</f>
        <v>Hồ sơ</v>
      </c>
      <c r="D151" s="874">
        <f>L_CViec!AA142</f>
        <v>1</v>
      </c>
      <c r="E151" s="874" t="str">
        <f>L_CViec!AC142</f>
        <v>1KS2</v>
      </c>
      <c r="F151" s="998" t="str">
        <f>L_CViec!AD142</f>
        <v>1-3</v>
      </c>
      <c r="G151" s="874">
        <f>L_CViec!AE142</f>
        <v>0.1</v>
      </c>
      <c r="H151" s="878">
        <f>L_CViec!AF142</f>
        <v>0.1</v>
      </c>
      <c r="I151" s="878">
        <f>L_CViec!AG142</f>
        <v>0.1</v>
      </c>
      <c r="J151" s="876">
        <f>L_CViec!AH142</f>
        <v>296770.5</v>
      </c>
      <c r="K151" s="876">
        <f t="shared" si="14"/>
        <v>29677.050000000003</v>
      </c>
      <c r="L151" s="876">
        <f t="shared" si="15"/>
        <v>29677.050000000003</v>
      </c>
      <c r="M151" s="876">
        <f t="shared" si="16"/>
        <v>29677.050000000003</v>
      </c>
      <c r="N151" s="1065">
        <f>$D151*G151*L_CBac!$J$68</f>
        <v>2556.4500000000003</v>
      </c>
      <c r="O151" s="1065">
        <f>$D151*H151*L_CBac!$J$68</f>
        <v>2556.4500000000003</v>
      </c>
      <c r="P151" s="1065">
        <f>$D151*I151*L_CBac!$J$68</f>
        <v>2556.4500000000003</v>
      </c>
      <c r="Q151" s="1002">
        <f>$D151*G151*L_CBac!$J$69</f>
        <v>2807.6923076923081</v>
      </c>
      <c r="R151" s="294">
        <f>$D151*H151*L_CBac!$J$69</f>
        <v>2807.6923076923081</v>
      </c>
      <c r="S151" s="294">
        <f>$D151*I151*L_CBac!$J$69</f>
        <v>2807.6923076923081</v>
      </c>
    </row>
    <row r="152" spans="1:19" s="85" customFormat="1" ht="15">
      <c r="A152" s="874">
        <f>L_CViec!A143</f>
        <v>23.2</v>
      </c>
      <c r="B152" s="877" t="str">
        <f>L_CViec!B143</f>
        <v>Đối với những nơi chưa có bản đồ dạng số</v>
      </c>
      <c r="C152" s="874" t="str">
        <f>L_CViec!AB143</f>
        <v>Hồ sơ</v>
      </c>
      <c r="D152" s="874">
        <f>L_CViec!AA143</f>
        <v>1</v>
      </c>
      <c r="E152" s="874" t="str">
        <f>L_CViec!AC143</f>
        <v>1KS2</v>
      </c>
      <c r="F152" s="998" t="str">
        <f>L_CViec!AD143</f>
        <v>1-3</v>
      </c>
      <c r="G152" s="874">
        <f>L_CViec!AE143</f>
        <v>0.15</v>
      </c>
      <c r="H152" s="878">
        <f>L_CViec!AF143</f>
        <v>0.15</v>
      </c>
      <c r="I152" s="878">
        <f>L_CViec!AG143</f>
        <v>0.2</v>
      </c>
      <c r="J152" s="876">
        <f>L_CViec!AH143</f>
        <v>296770.5</v>
      </c>
      <c r="K152" s="876">
        <f t="shared" si="14"/>
        <v>44515.574999999997</v>
      </c>
      <c r="L152" s="876">
        <f t="shared" si="15"/>
        <v>44515.574999999997</v>
      </c>
      <c r="M152" s="876">
        <f t="shared" si="16"/>
        <v>59354.100000000006</v>
      </c>
      <c r="N152" s="1065">
        <f>$D152*G152*L_CBac!$J$68</f>
        <v>3834.6749999999997</v>
      </c>
      <c r="O152" s="1065">
        <f>$D152*H152*L_CBac!$J$68</f>
        <v>3834.6749999999997</v>
      </c>
      <c r="P152" s="1065">
        <f>$D152*I152*L_CBac!$J$68</f>
        <v>5112.9000000000005</v>
      </c>
      <c r="Q152" s="1002"/>
      <c r="R152" s="294"/>
      <c r="S152" s="294"/>
    </row>
    <row r="153" spans="1:19" s="111" customFormat="1" ht="15">
      <c r="A153" s="874">
        <f>L_CViec!A144</f>
        <v>24</v>
      </c>
      <c r="B153" s="877" t="str">
        <f>L_CViec!B144</f>
        <v>Cấp Giấy chứng nhận</v>
      </c>
      <c r="C153" s="874" t="str">
        <f>L_CViec!AB144</f>
        <v>Hồ sơ</v>
      </c>
      <c r="D153" s="874">
        <f>L_CViec!AA144</f>
        <v>1</v>
      </c>
      <c r="E153" s="874" t="str">
        <f>L_CViec!AC144</f>
        <v>1KS3</v>
      </c>
      <c r="F153" s="998" t="str">
        <f>L_CViec!AD144</f>
        <v>1-3</v>
      </c>
      <c r="G153" s="874">
        <f>L_CViec!AE144</f>
        <v>0.05</v>
      </c>
      <c r="H153" s="878">
        <f>L_CViec!AF144</f>
        <v>0.05</v>
      </c>
      <c r="I153" s="878">
        <f>L_CViec!AG144</f>
        <v>0.05</v>
      </c>
      <c r="J153" s="876">
        <f>L_CViec!AH144</f>
        <v>333450</v>
      </c>
      <c r="K153" s="876">
        <f t="shared" si="14"/>
        <v>16672.5</v>
      </c>
      <c r="L153" s="876">
        <f t="shared" si="15"/>
        <v>16672.5</v>
      </c>
      <c r="M153" s="876">
        <f t="shared" si="16"/>
        <v>16672.5</v>
      </c>
      <c r="N153" s="1065">
        <f>$D153*G153*L_CBac!$J$68</f>
        <v>1278.2250000000001</v>
      </c>
      <c r="O153" s="1065">
        <f>$D153*H153*L_CBac!$J$68</f>
        <v>1278.2250000000001</v>
      </c>
      <c r="P153" s="1065">
        <f>$D153*I153*L_CBac!$J$68</f>
        <v>1278.2250000000001</v>
      </c>
      <c r="Q153" s="1002">
        <f>$D153*G153*L_CBac!$J$69</f>
        <v>1403.846153846154</v>
      </c>
      <c r="R153" s="294">
        <f>$D153*H153*L_CBac!$J$69</f>
        <v>1403.846153846154</v>
      </c>
      <c r="S153" s="294">
        <f>$D153*I153*L_CBac!$J$69</f>
        <v>1403.846153846154</v>
      </c>
    </row>
    <row r="154" spans="1:19" s="111" customFormat="1" ht="15">
      <c r="A154" s="874" t="str">
        <f>L_CViec!A145</f>
        <v>25</v>
      </c>
      <c r="B154" s="877" t="str">
        <f>L_CViec!B145</f>
        <v>Nhập bổ sung thông tin dữ liệu về Giấy chứng nhận đã cấp</v>
      </c>
      <c r="C154" s="874" t="str">
        <f>L_CViec!AB145</f>
        <v>Hồ sơ</v>
      </c>
      <c r="D154" s="874">
        <f>L_CViec!AA145</f>
        <v>1</v>
      </c>
      <c r="E154" s="874" t="str">
        <f>L_CViec!AC145</f>
        <v>1KS2</v>
      </c>
      <c r="F154" s="998" t="str">
        <f>L_CViec!AD145</f>
        <v>1-3</v>
      </c>
      <c r="G154" s="874">
        <f>L_CViec!AE145</f>
        <v>0.1</v>
      </c>
      <c r="H154" s="878">
        <f>L_CViec!AF145</f>
        <v>0.1</v>
      </c>
      <c r="I154" s="878">
        <f>L_CViec!AG145</f>
        <v>0.1</v>
      </c>
      <c r="J154" s="876">
        <f>L_CViec!AH145</f>
        <v>296770.5</v>
      </c>
      <c r="K154" s="876">
        <f t="shared" si="14"/>
        <v>29677.050000000003</v>
      </c>
      <c r="L154" s="876">
        <f t="shared" si="15"/>
        <v>29677.050000000003</v>
      </c>
      <c r="M154" s="876">
        <f t="shared" si="16"/>
        <v>29677.050000000003</v>
      </c>
      <c r="N154" s="1065">
        <f>$D154*G154*L_CBac!$J$68</f>
        <v>2556.4500000000003</v>
      </c>
      <c r="O154" s="1065">
        <f>$D154*H154*L_CBac!$J$68</f>
        <v>2556.4500000000003</v>
      </c>
      <c r="P154" s="1065">
        <f>$D154*I154*L_CBac!$J$68</f>
        <v>2556.4500000000003</v>
      </c>
      <c r="Q154" s="1002">
        <f>$D154*G154*L_CBac!$J$69</f>
        <v>2807.6923076923081</v>
      </c>
      <c r="R154" s="294">
        <f>$D154*H154*L_CBac!$J$69</f>
        <v>2807.6923076923081</v>
      </c>
      <c r="S154" s="294">
        <f>$D154*I154*L_CBac!$J$69</f>
        <v>2807.6923076923081</v>
      </c>
    </row>
    <row r="155" spans="1:19" s="85" customFormat="1" ht="15">
      <c r="A155" s="874" t="str">
        <f>L_CViec!A146</f>
        <v>26</v>
      </c>
      <c r="B155" s="877" t="str">
        <f>L_CViec!B146</f>
        <v>Quét bổ sung các giấy tờ trong hồ sơ đăng ký đất đai</v>
      </c>
      <c r="C155" s="874">
        <f>L_CViec!AB146</f>
        <v>0</v>
      </c>
      <c r="D155" s="874">
        <f>L_CViec!AA146</f>
        <v>0</v>
      </c>
      <c r="E155" s="874">
        <f>L_CViec!AC146</f>
        <v>0</v>
      </c>
      <c r="F155" s="998">
        <f>L_CViec!AD146</f>
        <v>0</v>
      </c>
      <c r="G155" s="874">
        <f>L_CViec!AE146</f>
        <v>0</v>
      </c>
      <c r="H155" s="878">
        <f>L_CViec!AF146</f>
        <v>0</v>
      </c>
      <c r="I155" s="878">
        <f>L_CViec!AG146</f>
        <v>0</v>
      </c>
      <c r="J155" s="876">
        <f>L_CViec!AH146</f>
        <v>0</v>
      </c>
      <c r="K155" s="876">
        <f t="shared" si="14"/>
        <v>0</v>
      </c>
      <c r="L155" s="876">
        <f t="shared" si="15"/>
        <v>0</v>
      </c>
      <c r="M155" s="876">
        <f t="shared" si="16"/>
        <v>0</v>
      </c>
      <c r="N155" s="1065">
        <f>$D155*G155*L_CBac!$J$68</f>
        <v>0</v>
      </c>
      <c r="O155" s="1065">
        <f>$D155*H155*L_CBac!$J$68</f>
        <v>0</v>
      </c>
      <c r="P155" s="1065">
        <f>$D155*I155*L_CBac!$J$68</f>
        <v>0</v>
      </c>
      <c r="Q155" s="1002">
        <f>$D155*G155*L_CBac!$J$69</f>
        <v>0</v>
      </c>
      <c r="R155" s="294">
        <f>$D155*H155*L_CBac!$J$69</f>
        <v>0</v>
      </c>
      <c r="S155" s="294">
        <f>$D155*I155*L_CBac!$J$69</f>
        <v>0</v>
      </c>
    </row>
    <row r="156" spans="1:19" s="85" customFormat="1" ht="15">
      <c r="A156" s="874" t="str">
        <f>L_CViec!A147</f>
        <v>26.1</v>
      </c>
      <c r="B156" s="877" t="str">
        <f>L_CViec!B147</f>
        <v>Quét trang A3</v>
      </c>
      <c r="C156" s="874" t="str">
        <f>L_CViec!AB147</f>
        <v>Trang</v>
      </c>
      <c r="D156" s="874">
        <f>L_CViec!AA147</f>
        <v>1</v>
      </c>
      <c r="E156" s="874" t="str">
        <f>L_CViec!AC147</f>
        <v>1KS1</v>
      </c>
      <c r="F156" s="998" t="str">
        <f>L_CViec!AD147</f>
        <v>1-3</v>
      </c>
      <c r="G156" s="874">
        <f>L_CViec!AE147</f>
        <v>1.6E-2</v>
      </c>
      <c r="H156" s="878">
        <f>L_CViec!AF147</f>
        <v>1.6E-2</v>
      </c>
      <c r="I156" s="878">
        <f>L_CViec!AG147</f>
        <v>0.02</v>
      </c>
      <c r="J156" s="876">
        <f>L_CViec!AH147</f>
        <v>260091</v>
      </c>
      <c r="K156" s="876">
        <f t="shared" si="14"/>
        <v>4161.4560000000001</v>
      </c>
      <c r="L156" s="876">
        <f t="shared" si="15"/>
        <v>4161.4560000000001</v>
      </c>
      <c r="M156" s="876">
        <f t="shared" si="16"/>
        <v>5201.82</v>
      </c>
      <c r="N156" s="1065">
        <f>$D156*G156*L_CBac!$J$68</f>
        <v>409.03199999999998</v>
      </c>
      <c r="O156" s="1065">
        <f>$D156*H156*L_CBac!$J$68</f>
        <v>409.03199999999998</v>
      </c>
      <c r="P156" s="1065">
        <f>$D156*I156*L_CBac!$J$68</f>
        <v>511.29</v>
      </c>
      <c r="Q156" s="1002">
        <f>$D156*G156*L_CBac!$J$69</f>
        <v>449.23076923076928</v>
      </c>
      <c r="R156" s="294">
        <f>$D156*H156*L_CBac!$J$69</f>
        <v>449.23076923076928</v>
      </c>
      <c r="S156" s="294">
        <f>$D156*I156*L_CBac!$J$69</f>
        <v>561.53846153846155</v>
      </c>
    </row>
    <row r="157" spans="1:19" s="471" customFormat="1" ht="15">
      <c r="A157" s="874" t="str">
        <f>L_CViec!A148</f>
        <v>26.2</v>
      </c>
      <c r="B157" s="877" t="str">
        <f>L_CViec!B148</f>
        <v>Quét trang A4</v>
      </c>
      <c r="C157" s="874" t="str">
        <f>L_CViec!AB148</f>
        <v>Trang</v>
      </c>
      <c r="D157" s="874">
        <f>L_CViec!AA148</f>
        <v>1</v>
      </c>
      <c r="E157" s="874" t="str">
        <f>L_CViec!AC148</f>
        <v>1KS1</v>
      </c>
      <c r="F157" s="998" t="str">
        <f>L_CViec!AD148</f>
        <v>1-3</v>
      </c>
      <c r="G157" s="874">
        <f>L_CViec!AE148</f>
        <v>8.0000000000000002E-3</v>
      </c>
      <c r="H157" s="878">
        <f>L_CViec!AF148</f>
        <v>8.0000000000000002E-3</v>
      </c>
      <c r="I157" s="878">
        <f>L_CViec!AG148</f>
        <v>0.01</v>
      </c>
      <c r="J157" s="876">
        <f>L_CViec!AH148</f>
        <v>260091</v>
      </c>
      <c r="K157" s="876">
        <f t="shared" si="14"/>
        <v>2080.7280000000001</v>
      </c>
      <c r="L157" s="876">
        <f t="shared" si="15"/>
        <v>2080.7280000000001</v>
      </c>
      <c r="M157" s="876">
        <f t="shared" si="16"/>
        <v>2600.91</v>
      </c>
      <c r="N157" s="1065">
        <f>$D157*G157*L_CBac!$J$68</f>
        <v>204.51599999999999</v>
      </c>
      <c r="O157" s="1065">
        <f>$D157*H157*L_CBac!$J$68</f>
        <v>204.51599999999999</v>
      </c>
      <c r="P157" s="1065">
        <f>$D157*I157*L_CBac!$J$68</f>
        <v>255.64500000000001</v>
      </c>
      <c r="Q157" s="1075">
        <f>$D157*G157*L_CBac!$J$69</f>
        <v>224.61538461538464</v>
      </c>
      <c r="R157" s="903">
        <f>$D157*H157*L_CBac!$J$69</f>
        <v>224.61538461538464</v>
      </c>
      <c r="S157" s="903">
        <f>$D157*I157*L_CBac!$J$69</f>
        <v>280.76923076923077</v>
      </c>
    </row>
    <row r="158" spans="1:19" s="85" customFormat="1" ht="25.5">
      <c r="A158" s="874" t="str">
        <f>L_CViec!A149</f>
        <v>27</v>
      </c>
      <c r="B158" s="877" t="str">
        <f>L_CViec!B149</f>
        <v>Xử lý các tệp tin quét thành tệp (File) hồ sơ quét dạng số của thửa đất, lưu trữ dưới khuôn dạng tệp tin PDF</v>
      </c>
      <c r="C158" s="874" t="str">
        <f>L_CViec!AB149</f>
        <v>Trang</v>
      </c>
      <c r="D158" s="874">
        <f>L_CViec!AA149</f>
        <v>1</v>
      </c>
      <c r="E158" s="874" t="str">
        <f>L_CViec!AC149</f>
        <v>1KS1</v>
      </c>
      <c r="F158" s="998" t="str">
        <f>L_CViec!AD149</f>
        <v>1-3</v>
      </c>
      <c r="G158" s="874">
        <f>L_CViec!AE149</f>
        <v>4.0000000000000001E-3</v>
      </c>
      <c r="H158" s="878">
        <f>L_CViec!AF149</f>
        <v>4.0000000000000001E-3</v>
      </c>
      <c r="I158" s="878">
        <f>L_CViec!AG149</f>
        <v>5.0000000000000001E-3</v>
      </c>
      <c r="J158" s="876">
        <f>L_CViec!AH149</f>
        <v>260091</v>
      </c>
      <c r="K158" s="876">
        <f t="shared" si="14"/>
        <v>1040.364</v>
      </c>
      <c r="L158" s="876">
        <f t="shared" si="15"/>
        <v>1040.364</v>
      </c>
      <c r="M158" s="876">
        <f t="shared" si="16"/>
        <v>1300.4549999999999</v>
      </c>
      <c r="N158" s="1065">
        <f>$D158*G158*L_CBac!$J$68</f>
        <v>102.258</v>
      </c>
      <c r="O158" s="1065">
        <f>$D158*H158*L_CBac!$J$68</f>
        <v>102.258</v>
      </c>
      <c r="P158" s="1065">
        <f>$D158*I158*L_CBac!$J$68</f>
        <v>127.82250000000001</v>
      </c>
      <c r="Q158" s="1002">
        <f>$D158*G158*L_CBac!$J$69</f>
        <v>112.30769230769232</v>
      </c>
      <c r="R158" s="294">
        <f>$D158*H158*L_CBac!$J$69</f>
        <v>112.30769230769232</v>
      </c>
      <c r="S158" s="294">
        <f>$D158*I158*L_CBac!$J$69</f>
        <v>140.38461538461539</v>
      </c>
    </row>
    <row r="159" spans="1:19" s="85" customFormat="1" ht="25.5">
      <c r="A159" s="874" t="str">
        <f>L_CViec!A150</f>
        <v>28</v>
      </c>
      <c r="B159" s="877" t="str">
        <f>L_CViec!B150</f>
        <v>Tạo liên kết hồ sơ quét dạng số với thửa đất trong cơ sở dữ liệu</v>
      </c>
      <c r="C159" s="874" t="str">
        <f>L_CViec!AB150</f>
        <v>Thửa</v>
      </c>
      <c r="D159" s="874">
        <f>L_CViec!AA150</f>
        <v>1</v>
      </c>
      <c r="E159" s="874" t="str">
        <f>L_CViec!AC150</f>
        <v>1KS1</v>
      </c>
      <c r="F159" s="998" t="str">
        <f>L_CViec!AD150</f>
        <v>1-3</v>
      </c>
      <c r="G159" s="874">
        <f>L_CViec!AE150</f>
        <v>0.01</v>
      </c>
      <c r="H159" s="878">
        <f>L_CViec!AF150</f>
        <v>0.01</v>
      </c>
      <c r="I159" s="878">
        <f>L_CViec!AG150</f>
        <v>1.2999999999999999E-2</v>
      </c>
      <c r="J159" s="876">
        <f>L_CViec!AH150</f>
        <v>260091</v>
      </c>
      <c r="K159" s="876">
        <f t="shared" si="14"/>
        <v>2600.91</v>
      </c>
      <c r="L159" s="876">
        <f t="shared" si="15"/>
        <v>2600.91</v>
      </c>
      <c r="M159" s="876">
        <f t="shared" si="16"/>
        <v>3381.183</v>
      </c>
      <c r="N159" s="1065">
        <f>$D159*G159*L_CBac!$J$68</f>
        <v>255.64500000000001</v>
      </c>
      <c r="O159" s="1065">
        <f>$D159*H159*L_CBac!$J$68</f>
        <v>255.64500000000001</v>
      </c>
      <c r="P159" s="1065">
        <f>$D159*I159*L_CBac!$J$68</f>
        <v>332.33850000000001</v>
      </c>
      <c r="Q159" s="1002" t="e">
        <f>Q160+#REF!+#REF!</f>
        <v>#REF!</v>
      </c>
      <c r="R159" s="294" t="e">
        <f>R160+#REF!+#REF!</f>
        <v>#REF!</v>
      </c>
      <c r="S159" s="294" t="e">
        <f>S160+#REF!+#REF!</f>
        <v>#REF!</v>
      </c>
    </row>
    <row r="160" spans="1:19" s="111" customFormat="1" ht="38.25">
      <c r="A160" s="874">
        <f>L_CViec!A151</f>
        <v>29</v>
      </c>
      <c r="B160" s="877" t="str">
        <f>L_CViec!B151</f>
        <v>Chuyển Giấy chứng nhận đến Bộ phận một cửa để trao cho người sử dụng đất hoặc chuyển Giấy chứng nhận cho người sử dụng đất thông qua dịch vụ bưu chính công ích</v>
      </c>
      <c r="C160" s="874" t="str">
        <f>L_CViec!AB151</f>
        <v>Hồ sơ</v>
      </c>
      <c r="D160" s="874">
        <f>L_CViec!AA151</f>
        <v>1</v>
      </c>
      <c r="E160" s="874" t="str">
        <f>L_CViec!AC151</f>
        <v>1KS2</v>
      </c>
      <c r="F160" s="998" t="str">
        <f>L_CViec!AD151</f>
        <v>1-3</v>
      </c>
      <c r="G160" s="874">
        <f>L_CViec!AE151</f>
        <v>0.2</v>
      </c>
      <c r="H160" s="878">
        <f>L_CViec!AF151</f>
        <v>0.2</v>
      </c>
      <c r="I160" s="878">
        <f>L_CViec!AG151</f>
        <v>0.2</v>
      </c>
      <c r="J160" s="876">
        <f>L_CViec!AH151</f>
        <v>296770.5</v>
      </c>
      <c r="K160" s="876">
        <f t="shared" si="14"/>
        <v>59354.100000000006</v>
      </c>
      <c r="L160" s="876">
        <f t="shared" si="15"/>
        <v>59354.100000000006</v>
      </c>
      <c r="M160" s="876">
        <f t="shared" si="16"/>
        <v>59354.100000000006</v>
      </c>
      <c r="N160" s="1065">
        <f>$D160*G160*L_CBac!$J$68</f>
        <v>5112.9000000000005</v>
      </c>
      <c r="O160" s="1065">
        <f>$D160*H160*L_CBac!$J$68</f>
        <v>5112.9000000000005</v>
      </c>
      <c r="P160" s="1065">
        <f>$D160*I160*L_CBac!$J$68</f>
        <v>5112.9000000000005</v>
      </c>
      <c r="Q160" s="1002">
        <f>SUM(Q161:Q161)</f>
        <v>5615.3846153846162</v>
      </c>
      <c r="R160" s="294">
        <f>SUM(R161:R161)</f>
        <v>5615.3846153846162</v>
      </c>
      <c r="S160" s="294">
        <f>SUM(S161:S161)</f>
        <v>7300.0000000000009</v>
      </c>
    </row>
    <row r="161" spans="1:19" s="111" customFormat="1" ht="38.25">
      <c r="A161" s="874">
        <f>L_CViec!A152</f>
        <v>30</v>
      </c>
      <c r="B161" s="997" t="str">
        <f>L_CViec!B152</f>
        <v>Chuyển hồ sơ kèm theo bản sao Giấy chứng nhận đã cấp đến Văn phòng đăng ký đất đai để cập nhật, chỉnh lý hồ sơ địa chính, cơ sở dữ liệu đất đai.</v>
      </c>
      <c r="C161" s="874" t="str">
        <f>L_CViec!AB152</f>
        <v>Hồ sơ</v>
      </c>
      <c r="D161" s="874">
        <f>L_CViec!AA152</f>
        <v>1</v>
      </c>
      <c r="E161" s="874" t="str">
        <f>L_CViec!AC152</f>
        <v>1KS2</v>
      </c>
      <c r="F161" s="998" t="str">
        <f>L_CViec!AD152</f>
        <v>1-3</v>
      </c>
      <c r="G161" s="874">
        <f>L_CViec!AE152</f>
        <v>0.2</v>
      </c>
      <c r="H161" s="878">
        <f>L_CViec!AF152</f>
        <v>0.2</v>
      </c>
      <c r="I161" s="878">
        <f>L_CViec!AG152</f>
        <v>0.26</v>
      </c>
      <c r="J161" s="876">
        <f>L_CViec!AH152</f>
        <v>296770.5</v>
      </c>
      <c r="K161" s="876">
        <f t="shared" si="14"/>
        <v>59354.100000000006</v>
      </c>
      <c r="L161" s="876">
        <f t="shared" si="15"/>
        <v>59354.100000000006</v>
      </c>
      <c r="M161" s="876">
        <f t="shared" si="16"/>
        <v>77160.33</v>
      </c>
      <c r="N161" s="1065">
        <f>$D161*G161*L_CBac!$J$68</f>
        <v>5112.9000000000005</v>
      </c>
      <c r="O161" s="1065">
        <f>$D161*H161*L_CBac!$J$68</f>
        <v>5112.9000000000005</v>
      </c>
      <c r="P161" s="1065">
        <f>$D161*I161*L_CBac!$J$68</f>
        <v>6646.77</v>
      </c>
      <c r="Q161" s="1002">
        <f>$D161*G161*L_CBac!$J$69</f>
        <v>5615.3846153846162</v>
      </c>
      <c r="R161" s="294">
        <f>$D161*H161*L_CBac!$J$69</f>
        <v>5615.3846153846162</v>
      </c>
      <c r="S161" s="294">
        <f>$D161*I161*L_CBac!$J$69</f>
        <v>7300.0000000000009</v>
      </c>
    </row>
    <row r="162" spans="1:19" s="86" customFormat="1" ht="25.5" customHeight="1">
      <c r="A162" s="520" t="str">
        <f>L_CViec!A153</f>
        <v>II.2</v>
      </c>
      <c r="B162" s="993" t="str">
        <f>L_CViec!B153</f>
        <v>CÁC NỘI DUNG THỰC HIỆN TẠI ĐỊA BÀN CẤP TỈNH</v>
      </c>
      <c r="C162" s="993">
        <f>L_CViec!AB153</f>
        <v>0</v>
      </c>
      <c r="D162" s="993">
        <f>L_CViec!AA153</f>
        <v>0</v>
      </c>
      <c r="E162" s="993">
        <f>L_CViec!AC153</f>
        <v>0</v>
      </c>
      <c r="F162" s="993">
        <f>L_CViec!AD153</f>
        <v>0</v>
      </c>
      <c r="G162" s="993">
        <f>L_CViec!AE153</f>
        <v>0</v>
      </c>
      <c r="H162" s="1104">
        <f>L_CViec!AF153</f>
        <v>0</v>
      </c>
      <c r="I162" s="1104">
        <f>L_CViec!AG153</f>
        <v>0</v>
      </c>
      <c r="J162" s="1093">
        <f>L_CViec!AH153</f>
        <v>0</v>
      </c>
      <c r="K162" s="1093">
        <f>K163</f>
        <v>66690</v>
      </c>
      <c r="L162" s="1093">
        <f t="shared" ref="L162:S162" si="17">L163</f>
        <v>66690</v>
      </c>
      <c r="M162" s="1093">
        <f t="shared" si="17"/>
        <v>86697</v>
      </c>
      <c r="N162" s="1064">
        <f t="shared" si="17"/>
        <v>5112.9000000000005</v>
      </c>
      <c r="O162" s="1064">
        <f t="shared" si="17"/>
        <v>5112.9000000000005</v>
      </c>
      <c r="P162" s="1064">
        <f t="shared" si="17"/>
        <v>6646.77</v>
      </c>
      <c r="Q162" s="311">
        <f t="shared" si="17"/>
        <v>5615.3846153846162</v>
      </c>
      <c r="R162" s="309">
        <f t="shared" si="17"/>
        <v>5615.3846153846162</v>
      </c>
      <c r="S162" s="309">
        <f t="shared" si="17"/>
        <v>7300.0000000000009</v>
      </c>
    </row>
    <row r="163" spans="1:19" s="85" customFormat="1" ht="25.5">
      <c r="A163" s="523" t="str">
        <f>L_CViec!A154</f>
        <v>1</v>
      </c>
      <c r="B163" s="525" t="str">
        <f>L_CViec!B154</f>
        <v>Nhận bản thông báo cập nhật hồ sơ địa chính xã, phường chuyển đến đối với những nơi chưa liên thông</v>
      </c>
      <c r="C163" s="523" t="str">
        <f>L_CViec!AB154</f>
        <v>Hồ sơ</v>
      </c>
      <c r="D163" s="523">
        <f>L_CViec!AA154</f>
        <v>1</v>
      </c>
      <c r="E163" s="523" t="str">
        <f>L_CViec!AC154</f>
        <v>1KS3</v>
      </c>
      <c r="F163" s="905" t="s">
        <v>32</v>
      </c>
      <c r="G163" s="523">
        <f>L_CViec!AE154</f>
        <v>0.2</v>
      </c>
      <c r="H163" s="879">
        <f>L_CViec!AF154</f>
        <v>0.2</v>
      </c>
      <c r="I163" s="879">
        <f>L_CViec!AG154</f>
        <v>0.26</v>
      </c>
      <c r="J163" s="294">
        <f>L_CViec!AH154</f>
        <v>333450</v>
      </c>
      <c r="K163" s="294">
        <f>G163*$J163</f>
        <v>66690</v>
      </c>
      <c r="L163" s="294">
        <f>H163*$J163</f>
        <v>66690</v>
      </c>
      <c r="M163" s="294">
        <f>I163*$J163</f>
        <v>86697</v>
      </c>
      <c r="N163" s="1065">
        <f>$D163*G163*L_CBac!$J$68</f>
        <v>5112.9000000000005</v>
      </c>
      <c r="O163" s="1065">
        <f>$D163*H163*L_CBac!$J$68</f>
        <v>5112.9000000000005</v>
      </c>
      <c r="P163" s="1065">
        <f>$D163*I163*L_CBac!$J$68</f>
        <v>6646.77</v>
      </c>
      <c r="Q163" s="1002">
        <f>$D163*G163*L_CBac!$J$69</f>
        <v>5615.3846153846162</v>
      </c>
      <c r="R163" s="294">
        <f>$D163*H163*L_CBac!$J$69</f>
        <v>5615.3846153846162</v>
      </c>
      <c r="S163" s="294">
        <f>$D163*I163*L_CBac!$J$69</f>
        <v>7300.0000000000009</v>
      </c>
    </row>
    <row r="164" spans="1:19" s="85" customFormat="1" ht="24" customHeight="1">
      <c r="A164" s="1081" t="str">
        <f>L_CViec!A155</f>
        <v>II.3</v>
      </c>
      <c r="B164" s="1082" t="str">
        <f>L_CViec!B155</f>
        <v>GHI CHÚ</v>
      </c>
      <c r="C164" s="1082">
        <f>L_CViec!AB155</f>
        <v>0</v>
      </c>
      <c r="D164" s="1082"/>
      <c r="E164" s="1082">
        <f>L_CViec!AC155</f>
        <v>0</v>
      </c>
      <c r="F164" s="1082">
        <f>L_CViec!AD155</f>
        <v>0</v>
      </c>
      <c r="G164" s="1082">
        <f>L_CViec!AE155</f>
        <v>0</v>
      </c>
      <c r="H164" s="1084">
        <f>L_CViec!AF155</f>
        <v>0</v>
      </c>
      <c r="I164" s="1084">
        <f>L_CViec!AG155</f>
        <v>0</v>
      </c>
      <c r="J164" s="1083">
        <f>L_CViec!AH155</f>
        <v>0</v>
      </c>
      <c r="K164" s="1083"/>
      <c r="L164" s="1083"/>
      <c r="M164" s="1083"/>
      <c r="N164" s="1064"/>
      <c r="O164" s="1064"/>
      <c r="P164" s="1064"/>
      <c r="Q164" s="1076"/>
      <c r="R164" s="167"/>
      <c r="S164" s="167"/>
    </row>
    <row r="165" spans="1:19" s="85" customFormat="1" ht="30" customHeight="1">
      <c r="A165" s="84" t="str">
        <f>L_CViec!A156</f>
        <v>1</v>
      </c>
      <c r="B165" s="1450" t="str">
        <f>L_CViec!B156</f>
        <v>Cột “ĐM Đất” áp dụng cho trường hợp đăng ký, cấp GCN đối với đất; cột “ĐM Đất + TS” áp dụng đối với trường hợp đăng ký, cấp GCN đối với cả đất và tài sản gắn liền với đất</v>
      </c>
      <c r="C165" s="1450"/>
      <c r="D165" s="1450"/>
      <c r="E165" s="1450"/>
      <c r="F165" s="1450"/>
      <c r="G165" s="1450"/>
      <c r="H165" s="1450"/>
      <c r="I165" s="1450"/>
      <c r="J165" s="1450"/>
      <c r="K165" s="1450"/>
      <c r="L165" s="1450"/>
      <c r="M165" s="1450"/>
      <c r="N165" s="1065"/>
      <c r="O165" s="1065"/>
      <c r="P165" s="1065"/>
      <c r="Q165" s="1002"/>
      <c r="R165" s="294"/>
      <c r="S165" s="294"/>
    </row>
    <row r="166" spans="1:19" s="85" customFormat="1" ht="39" customHeight="1">
      <c r="A166" s="84" t="str">
        <f>L_CViec!A157</f>
        <v>2</v>
      </c>
      <c r="B166" s="1450" t="str">
        <f>L_CViec!B157</f>
        <v>Trường hợp nhiều thửa đất nông nghiệp lập chung trong 1 hồ sơ và cấp chung trong một GCN thì ngoài mức được tính ở trên, mỗi thửa đất tăng thêm được tính mức bằng 0,30 lần định mức quy định đối với Mục 2, 3, 4, 5, 6, 7, 10, 11, 12, 13, 15, 16, 17, 18, 19, 20, 21, 24, 25, 26, 27 và 30 các nội dung thực hiện tại địa bàn xã, phường,đặc khu; Mục 1, 2 các nội dung thực hiện tại cấp tỉnh của Bảng này</v>
      </c>
      <c r="C166" s="1450"/>
      <c r="D166" s="1450"/>
      <c r="E166" s="1450"/>
      <c r="F166" s="1450"/>
      <c r="G166" s="1450"/>
      <c r="H166" s="1450"/>
      <c r="I166" s="1450"/>
      <c r="J166" s="1450"/>
      <c r="K166" s="1450"/>
      <c r="L166" s="1450"/>
      <c r="M166" s="1450"/>
      <c r="N166" s="1065"/>
      <c r="O166" s="1065"/>
      <c r="P166" s="1065"/>
      <c r="Q166" s="1002"/>
      <c r="R166" s="294"/>
      <c r="S166" s="294"/>
    </row>
    <row r="167" spans="1:19" s="85" customFormat="1" ht="33.6" customHeight="1">
      <c r="A167" s="84" t="str">
        <f>L_CViec!A158</f>
        <v>3</v>
      </c>
      <c r="B167" s="1450" t="str">
        <f>L_CViec!B158</f>
        <v>Đối với các hồ sơ không có nhu cầu hoặc không đủ điều kiện cấp GCN thì được tính định mức đối với Mục 1, 2, 3, 4, 5, 6, 7, 10, 11, 13, 16 và 17 các nội dung thực hiện tại địa bàn xã, phường,đặc khu; Mục 1, 2, 3 các nội dung thực hiện tại địa bàn cấp tỉnh của Bảng 7.</v>
      </c>
      <c r="C167" s="1450"/>
      <c r="D167" s="1450"/>
      <c r="E167" s="1450"/>
      <c r="F167" s="1450"/>
      <c r="G167" s="1450"/>
      <c r="H167" s="1450"/>
      <c r="I167" s="1450"/>
      <c r="J167" s="1450"/>
      <c r="K167" s="1450"/>
      <c r="L167" s="1450"/>
      <c r="M167" s="1450"/>
      <c r="N167" s="1065"/>
      <c r="O167" s="1065"/>
      <c r="P167" s="1065"/>
      <c r="Q167" s="1002"/>
      <c r="R167" s="294"/>
      <c r="S167" s="294"/>
    </row>
    <row r="168" spans="1:19" s="85" customFormat="1" ht="33.6" customHeight="1">
      <c r="A168" s="84" t="str">
        <f>L_CViec!A159</f>
        <v>4</v>
      </c>
      <c r="B168" s="1450" t="str">
        <f>L_CViec!B159</f>
        <v>Trường hợp người sử dụng đất đã đăng ký đất đai theo quy định của pháp luật mà có nhu cầu và đủ điều kiện cấp GCN thì được tính định mức đối với Mục 2, 7, 12, 18, 19, 20, 21, 24, 25, 26, 27 và 30 các nội dung thực hiện tại địa bàn xã, phường,đặc khu; Mục 1, 2, 3 các nội dung thực hiện tại địa bàn cấp tỉnh của Bảng này</v>
      </c>
      <c r="C168" s="1450"/>
      <c r="D168" s="1450"/>
      <c r="E168" s="1450"/>
      <c r="F168" s="1450"/>
      <c r="G168" s="1450"/>
      <c r="H168" s="1450"/>
      <c r="I168" s="1450"/>
      <c r="J168" s="1450"/>
      <c r="K168" s="1450"/>
      <c r="L168" s="1450"/>
      <c r="M168" s="1450"/>
      <c r="N168" s="1065"/>
      <c r="O168" s="1065"/>
      <c r="P168" s="1065"/>
      <c r="Q168" s="1078"/>
      <c r="R168" s="1003"/>
      <c r="S168" s="1003"/>
    </row>
    <row r="169" spans="1:19" s="85" customFormat="1" ht="34.5" customHeight="1">
      <c r="A169" s="84">
        <f>L_CViec!A160</f>
        <v>0</v>
      </c>
      <c r="B169" s="1450">
        <f>L_CViec!B160</f>
        <v>0</v>
      </c>
      <c r="C169" s="1450"/>
      <c r="D169" s="1450"/>
      <c r="E169" s="1450"/>
      <c r="F169" s="1450"/>
      <c r="G169" s="1450"/>
      <c r="H169" s="1450"/>
      <c r="I169" s="1450"/>
      <c r="J169" s="1450"/>
      <c r="K169" s="1450"/>
      <c r="L169" s="1450"/>
      <c r="M169" s="1450"/>
      <c r="N169" s="1065"/>
      <c r="O169" s="1065"/>
      <c r="P169" s="1065"/>
      <c r="Q169" s="176"/>
      <c r="R169" s="176"/>
      <c r="S169" s="176"/>
    </row>
    <row r="170" spans="1:19" s="37" customFormat="1" ht="16.5" customHeight="1">
      <c r="A170" s="37" t="s">
        <v>340</v>
      </c>
      <c r="B170" s="869"/>
      <c r="C170" s="870"/>
      <c r="D170" s="870"/>
      <c r="E170" s="870"/>
      <c r="F170" s="870"/>
      <c r="G170" s="871"/>
      <c r="H170" s="872"/>
      <c r="I170" s="872"/>
      <c r="J170" s="872"/>
      <c r="K170" s="872"/>
      <c r="N170" s="1068"/>
      <c r="O170" s="1068"/>
      <c r="P170" s="1068"/>
    </row>
    <row r="171" spans="1:19" s="31" customFormat="1" ht="15" customHeight="1">
      <c r="A171" s="1426" t="s">
        <v>24</v>
      </c>
      <c r="B171" s="1101" t="s">
        <v>46</v>
      </c>
      <c r="C171" s="1427" t="s">
        <v>39</v>
      </c>
      <c r="D171" s="1102"/>
      <c r="E171" s="1427" t="s">
        <v>17</v>
      </c>
      <c r="F171" s="1102" t="s">
        <v>98</v>
      </c>
      <c r="G171" s="1429" t="s">
        <v>335</v>
      </c>
      <c r="H171" s="1429"/>
      <c r="I171" s="1429"/>
      <c r="J171" s="1428" t="s">
        <v>351</v>
      </c>
      <c r="K171" s="1429" t="s">
        <v>496</v>
      </c>
      <c r="L171" s="1429"/>
      <c r="M171" s="1429"/>
      <c r="N171" s="1449" t="s">
        <v>355</v>
      </c>
      <c r="O171" s="1449"/>
      <c r="P171" s="1449"/>
      <c r="Q171" s="1447" t="s">
        <v>356</v>
      </c>
      <c r="R171" s="1448"/>
      <c r="S171" s="1448"/>
    </row>
    <row r="172" spans="1:19" s="31" customFormat="1" ht="25.5">
      <c r="A172" s="1426"/>
      <c r="B172" s="1101"/>
      <c r="C172" s="1427"/>
      <c r="D172" s="1102"/>
      <c r="E172" s="1427"/>
      <c r="F172" s="1102" t="s">
        <v>25</v>
      </c>
      <c r="G172" s="1103" t="s">
        <v>359</v>
      </c>
      <c r="H172" s="1103" t="s">
        <v>358</v>
      </c>
      <c r="I172" s="1103" t="s">
        <v>357</v>
      </c>
      <c r="J172" s="1429"/>
      <c r="K172" s="1103" t="s">
        <v>359</v>
      </c>
      <c r="L172" s="1103" t="s">
        <v>358</v>
      </c>
      <c r="M172" s="1103" t="s">
        <v>357</v>
      </c>
      <c r="N172" s="1062" t="s">
        <v>359</v>
      </c>
      <c r="O172" s="1062" t="s">
        <v>358</v>
      </c>
      <c r="P172" s="1077" t="s">
        <v>357</v>
      </c>
      <c r="Q172" s="1069" t="s">
        <v>359</v>
      </c>
      <c r="R172" s="451" t="s">
        <v>358</v>
      </c>
      <c r="S172" s="453" t="s">
        <v>357</v>
      </c>
    </row>
    <row r="173" spans="1:19" s="86" customFormat="1" ht="31.5" customHeight="1">
      <c r="A173" s="520" t="str">
        <f>L_CViec!A161</f>
        <v>III</v>
      </c>
      <c r="B173" s="1425" t="str">
        <f>L_CViec!B161</f>
        <v>Định mức lao động đăng ký, cấp Giấy chứng nhận lần đầu đối với tổ chức (trừ trường hợp thuộc thẩm quyền quyết định của UBND xã, phường), tổ chức tôn giáo, tổ chức tôn giáo trực thuộc đang sử dụng đất</v>
      </c>
      <c r="C173" s="1425"/>
      <c r="D173" s="1425"/>
      <c r="E173" s="1425"/>
      <c r="F173" s="1425"/>
      <c r="G173" s="1425"/>
      <c r="H173" s="1425"/>
      <c r="I173" s="1425"/>
      <c r="J173" s="1425"/>
      <c r="K173" s="1093"/>
      <c r="L173" s="1093"/>
      <c r="M173" s="1093"/>
      <c r="N173" s="1064"/>
      <c r="O173" s="1064"/>
      <c r="P173" s="1064"/>
      <c r="Q173" s="1070"/>
      <c r="R173" s="482"/>
      <c r="S173" s="482"/>
    </row>
    <row r="174" spans="1:19" s="86" customFormat="1">
      <c r="A174" s="1430" t="str">
        <f>L_CViec!A162</f>
        <v>III.1</v>
      </c>
      <c r="B174" s="1425" t="str">
        <f>L_CViec!B162</f>
        <v>CÁC NỘI DUNG THỰC HIỆN TẠI ĐỊA BÀN XÃ, PHƯỜNG</v>
      </c>
      <c r="C174" s="993"/>
      <c r="D174" s="993"/>
      <c r="E174" s="520" t="s">
        <v>353</v>
      </c>
      <c r="F174" s="520">
        <v>1</v>
      </c>
      <c r="G174" s="520"/>
      <c r="H174" s="1093"/>
      <c r="I174" s="1093"/>
      <c r="J174" s="1093">
        <f>L_CViec!AH181</f>
        <v>0</v>
      </c>
      <c r="K174" s="1093">
        <f>SUM(K181,K183,K184,K189,K195,K196,K197)</f>
        <v>855165.87</v>
      </c>
      <c r="L174" s="1093">
        <f t="shared" ref="L174:P174" si="18">SUM(L181,L183,L184,L189,L195,L196,L197)</f>
        <v>830490.57</v>
      </c>
      <c r="M174" s="1093">
        <f t="shared" si="18"/>
        <v>1112115.7709999999</v>
      </c>
      <c r="N174" s="1064">
        <f t="shared" si="18"/>
        <v>75338.581500000015</v>
      </c>
      <c r="O174" s="1064">
        <f t="shared" si="18"/>
        <v>73446.808500000014</v>
      </c>
      <c r="P174" s="1064">
        <f t="shared" si="18"/>
        <v>97886.47050000001</v>
      </c>
      <c r="Q174" s="1071" t="e">
        <f>SUM(Q$198,Q$199,Q$200,Q202,Q$208,Q$210,Q$211,Q$214,Q$216,Q$217,Q$218,Q$219,#REF!,#REF!,Q201,Q205,Q206)</f>
        <v>#REF!</v>
      </c>
      <c r="R174" s="166" t="e">
        <f>SUM(R$198,R$199,R$200,R202,R$208,R$210,R$211,R$214,R$216,R$217,R$218,R$219,#REF!,#REF!,R201,R205,R206)</f>
        <v>#REF!</v>
      </c>
      <c r="S174" s="166" t="e">
        <f>SUM(S$198,S$199,S$200,S202,S$208,S$210,S$211,S$214,S$216,S$217,S$218,S$219,#REF!,#REF!,S201,S205,S206)</f>
        <v>#REF!</v>
      </c>
    </row>
    <row r="175" spans="1:19" s="86" customFormat="1">
      <c r="A175" s="1430"/>
      <c r="B175" s="1425"/>
      <c r="C175" s="993"/>
      <c r="D175" s="993"/>
      <c r="E175" s="520" t="s">
        <v>202</v>
      </c>
      <c r="F175" s="520"/>
      <c r="G175" s="520"/>
      <c r="H175" s="1093"/>
      <c r="I175" s="1093"/>
      <c r="J175" s="1093"/>
      <c r="K175" s="1093">
        <f t="shared" ref="K175:P175" si="19">K190</f>
        <v>107334.61538461539</v>
      </c>
      <c r="L175" s="1093">
        <f t="shared" si="19"/>
        <v>107334.61538461539</v>
      </c>
      <c r="M175" s="1093">
        <f t="shared" si="19"/>
        <v>139535</v>
      </c>
      <c r="N175" s="1064">
        <f t="shared" si="19"/>
        <v>15083.054999999998</v>
      </c>
      <c r="O175" s="1064">
        <f t="shared" si="19"/>
        <v>15083.054999999998</v>
      </c>
      <c r="P175" s="1064">
        <f t="shared" si="19"/>
        <v>19607.9715</v>
      </c>
      <c r="Q175" s="1071"/>
      <c r="R175" s="166"/>
      <c r="S175" s="166"/>
    </row>
    <row r="176" spans="1:19" s="85" customFormat="1" ht="15" customHeight="1">
      <c r="A176" s="1431"/>
      <c r="B176" s="1425"/>
      <c r="C176" s="993"/>
      <c r="D176" s="993"/>
      <c r="E176" s="520" t="s">
        <v>353</v>
      </c>
      <c r="F176" s="520">
        <v>2</v>
      </c>
      <c r="G176" s="520"/>
      <c r="H176" s="1093"/>
      <c r="I176" s="1093"/>
      <c r="J176" s="1093"/>
      <c r="K176" s="1093">
        <f t="shared" ref="K176:M176" si="20">SUM(K181,K183,K184,K191,K195,K196,K197)</f>
        <v>912185.82000000007</v>
      </c>
      <c r="L176" s="1093">
        <f t="shared" si="20"/>
        <v>887510.52000000014</v>
      </c>
      <c r="M176" s="1093">
        <f t="shared" si="20"/>
        <v>1186241.7059999998</v>
      </c>
      <c r="N176" s="1064"/>
      <c r="O176" s="1064"/>
      <c r="P176" s="1064"/>
      <c r="Q176" s="1071" t="e">
        <f>SUM(Q$198,Q$199,Q$200,Q203,Q$208,Q$210,Q$211,Q$214,Q$216,Q$217,Q$218,Q$219,#REF!,#REF!,Q201,Q205,Q206)</f>
        <v>#REF!</v>
      </c>
      <c r="R176" s="166" t="e">
        <f>SUM(R$198,R$199,R$200,R203,R$208,R$210,R$211,R$214,R$216,R$217,R$218,R$219,#REF!,#REF!,R201,R205,R206)</f>
        <v>#REF!</v>
      </c>
      <c r="S176" s="166" t="e">
        <f>SUM(S$198,S$199,S$200,S203,S$208,S$210,S$211,S$214,S$216,S$217,S$218,S$219,#REF!,#REF!,S201,S205,S206)</f>
        <v>#REF!</v>
      </c>
    </row>
    <row r="177" spans="1:19" s="85" customFormat="1" ht="15" customHeight="1">
      <c r="A177" s="1431"/>
      <c r="B177" s="1425"/>
      <c r="C177" s="993"/>
      <c r="D177" s="993"/>
      <c r="E177" s="520" t="s">
        <v>202</v>
      </c>
      <c r="F177" s="520"/>
      <c r="G177" s="520"/>
      <c r="H177" s="1093"/>
      <c r="I177" s="1093"/>
      <c r="J177" s="1093"/>
      <c r="K177" s="1093">
        <f t="shared" ref="K177:M177" si="21">K192</f>
        <v>118250.00000000001</v>
      </c>
      <c r="L177" s="1093">
        <f t="shared" si="21"/>
        <v>118250.00000000001</v>
      </c>
      <c r="M177" s="1093">
        <f t="shared" si="21"/>
        <v>153725</v>
      </c>
      <c r="N177" s="1064"/>
      <c r="O177" s="1064"/>
      <c r="P177" s="1064"/>
      <c r="Q177" s="1071"/>
      <c r="R177" s="166"/>
      <c r="S177" s="166"/>
    </row>
    <row r="178" spans="1:19" s="85" customFormat="1" ht="15" customHeight="1">
      <c r="A178" s="1431"/>
      <c r="B178" s="1425"/>
      <c r="C178" s="993"/>
      <c r="D178" s="993"/>
      <c r="E178" s="520" t="s">
        <v>353</v>
      </c>
      <c r="F178" s="520">
        <v>3</v>
      </c>
      <c r="G178" s="520"/>
      <c r="H178" s="1093"/>
      <c r="I178" s="1093"/>
      <c r="J178" s="1093"/>
      <c r="K178" s="1093">
        <f t="shared" ref="K178:M178" si="22">SUM(K181,K183,K184,K193,K195,K196,K197)</f>
        <v>974907.76500000001</v>
      </c>
      <c r="L178" s="1093">
        <f t="shared" si="22"/>
        <v>950232.46499999997</v>
      </c>
      <c r="M178" s="1093">
        <f t="shared" si="22"/>
        <v>1267780.2344999998</v>
      </c>
      <c r="N178" s="1064"/>
      <c r="O178" s="1064"/>
      <c r="P178" s="1064"/>
      <c r="Q178" s="1071" t="e">
        <f>SUM(Q$198,Q$199,Q$200,Q204,Q$208,Q$210,Q$211,Q$214,Q$216,Q$217,Q$218,Q$219,#REF!,#REF!,Q201,Q205,Q206)</f>
        <v>#REF!</v>
      </c>
      <c r="R178" s="166" t="e">
        <f>SUM(R$198,R$199,R$200,R204,R$208,R$210,R$211,R$214,R$216,R$217,R$218,R$219,#REF!,#REF!,R201,R205,R206)</f>
        <v>#REF!</v>
      </c>
      <c r="S178" s="166" t="e">
        <f>SUM(S$198,S$199,S$200,S204,S$208,S$210,S$211,S$214,S$216,S$217,S$218,S$219,#REF!,#REF!,S201,S205,S206)</f>
        <v>#REF!</v>
      </c>
    </row>
    <row r="179" spans="1:19" s="85" customFormat="1" ht="15" customHeight="1">
      <c r="A179" s="520"/>
      <c r="B179" s="993"/>
      <c r="C179" s="993"/>
      <c r="D179" s="993"/>
      <c r="E179" s="520" t="s">
        <v>202</v>
      </c>
      <c r="F179" s="520"/>
      <c r="G179" s="520"/>
      <c r="H179" s="1093"/>
      <c r="I179" s="1093"/>
      <c r="J179" s="1093"/>
      <c r="K179" s="1093">
        <f t="shared" ref="K179:P179" si="23">K194</f>
        <v>129165.38461538462</v>
      </c>
      <c r="L179" s="1093">
        <f t="shared" si="23"/>
        <v>129165.38461538462</v>
      </c>
      <c r="M179" s="1093">
        <f t="shared" si="23"/>
        <v>167915.00000000003</v>
      </c>
      <c r="N179" s="1064">
        <f t="shared" si="23"/>
        <v>18150.794999999998</v>
      </c>
      <c r="O179" s="1064">
        <f t="shared" si="23"/>
        <v>18150.794999999998</v>
      </c>
      <c r="P179" s="1064">
        <f t="shared" si="23"/>
        <v>23596.033500000001</v>
      </c>
      <c r="Q179" s="1071"/>
      <c r="R179" s="166"/>
      <c r="S179" s="166"/>
    </row>
    <row r="180" spans="1:19" s="111" customFormat="1">
      <c r="A180" s="874" t="str">
        <f>L_CViec!A163</f>
        <v>1</v>
      </c>
      <c r="B180" s="875" t="str">
        <f>L_CViec!B163</f>
        <v>Hướng dẫn lập hồ sơ đề nghị đăng ký, cấp GCN</v>
      </c>
      <c r="C180" s="874">
        <f>L_CViec!AB163</f>
        <v>0</v>
      </c>
      <c r="D180" s="874">
        <f>L_CViec!AA163</f>
        <v>0</v>
      </c>
      <c r="E180" s="874">
        <f>L_CViec!AC163</f>
        <v>0</v>
      </c>
      <c r="F180" s="957">
        <f>L_CViec!AD163</f>
        <v>0</v>
      </c>
      <c r="G180" s="881">
        <f>L_CViec!AE163</f>
        <v>0</v>
      </c>
      <c r="H180" s="878">
        <f>L_CViec!AF163</f>
        <v>0</v>
      </c>
      <c r="I180" s="878">
        <f>L_CViec!AG163</f>
        <v>0</v>
      </c>
      <c r="J180" s="876">
        <f>L_CViec!AH163</f>
        <v>0</v>
      </c>
      <c r="K180" s="876">
        <f t="shared" ref="K180:K197" si="24">G180*$J180</f>
        <v>0</v>
      </c>
      <c r="L180" s="876">
        <f t="shared" ref="L180:L197" si="25">H180*$J180</f>
        <v>0</v>
      </c>
      <c r="M180" s="876">
        <f t="shared" ref="M180:M197" si="26">I180*$J180</f>
        <v>0</v>
      </c>
      <c r="N180" s="1065">
        <f>$D180*G180*L_CBac!$J$68</f>
        <v>0</v>
      </c>
      <c r="O180" s="1065">
        <f>$D180*H180*L_CBac!$J$68</f>
        <v>0</v>
      </c>
      <c r="P180" s="1065">
        <f>$D180*I180*L_CBac!$J$68</f>
        <v>0</v>
      </c>
      <c r="Q180" s="1072"/>
      <c r="R180" s="876"/>
      <c r="S180" s="876"/>
    </row>
    <row r="181" spans="1:19" s="111" customFormat="1">
      <c r="A181" s="874" t="str">
        <f>L_CViec!A164</f>
        <v>1.1</v>
      </c>
      <c r="B181" s="875" t="str">
        <f>L_CViec!B164</f>
        <v>Theo hình thức trực tiếp</v>
      </c>
      <c r="C181" s="874" t="str">
        <f>L_CViec!AB164</f>
        <v>Hồ sơ</v>
      </c>
      <c r="D181" s="874">
        <f>L_CViec!AA164</f>
        <v>1</v>
      </c>
      <c r="E181" s="874" t="str">
        <f>L_CViec!AC164</f>
        <v>1KS2</v>
      </c>
      <c r="F181" s="957" t="str">
        <f>L_CViec!AD164</f>
        <v>1-3</v>
      </c>
      <c r="G181" s="881">
        <f>L_CViec!AE164</f>
        <v>0.2</v>
      </c>
      <c r="H181" s="878">
        <f>L_CViec!AF164</f>
        <v>0.2</v>
      </c>
      <c r="I181" s="878">
        <f>L_CViec!AG164</f>
        <v>0.26</v>
      </c>
      <c r="J181" s="876">
        <f>L_CViec!AH164</f>
        <v>296770.5</v>
      </c>
      <c r="K181" s="876">
        <f t="shared" si="24"/>
        <v>59354.100000000006</v>
      </c>
      <c r="L181" s="876">
        <f t="shared" si="25"/>
        <v>59354.100000000006</v>
      </c>
      <c r="M181" s="876">
        <f t="shared" si="26"/>
        <v>77160.33</v>
      </c>
      <c r="N181" s="1065">
        <f>$D181*G181*L_CBac!$J$68</f>
        <v>5112.9000000000005</v>
      </c>
      <c r="O181" s="1065">
        <f>$D181*H181*L_CBac!$J$68</f>
        <v>5112.9000000000005</v>
      </c>
      <c r="P181" s="1065">
        <f>$D181*I181*L_CBac!$J$68</f>
        <v>6646.77</v>
      </c>
      <c r="Q181" s="1072"/>
      <c r="R181" s="876"/>
      <c r="S181" s="876"/>
    </row>
    <row r="182" spans="1:19" s="111" customFormat="1">
      <c r="A182" s="874" t="str">
        <f>L_CViec!A165</f>
        <v>1.2</v>
      </c>
      <c r="B182" s="875" t="str">
        <f>L_CViec!B165</f>
        <v>Theo hình thức trực tuyến</v>
      </c>
      <c r="C182" s="874" t="str">
        <f>L_CViec!AB165</f>
        <v>Hồ sơ</v>
      </c>
      <c r="D182" s="874">
        <f>L_CViec!AA165</f>
        <v>1</v>
      </c>
      <c r="E182" s="874" t="str">
        <f>L_CViec!AC165</f>
        <v>1KS2</v>
      </c>
      <c r="F182" s="957" t="str">
        <f>L_CViec!AD165</f>
        <v>1-3</v>
      </c>
      <c r="G182" s="881">
        <f>L_CViec!AE165</f>
        <v>0.15</v>
      </c>
      <c r="H182" s="878">
        <f>L_CViec!AF165</f>
        <v>0.15</v>
      </c>
      <c r="I182" s="878">
        <f>L_CViec!AG165</f>
        <v>0.19</v>
      </c>
      <c r="J182" s="876">
        <f>L_CViec!AH165</f>
        <v>296770.5</v>
      </c>
      <c r="K182" s="876">
        <f t="shared" si="24"/>
        <v>44515.574999999997</v>
      </c>
      <c r="L182" s="876">
        <f t="shared" si="25"/>
        <v>44515.574999999997</v>
      </c>
      <c r="M182" s="876">
        <f t="shared" si="26"/>
        <v>56386.395000000004</v>
      </c>
      <c r="N182" s="1065">
        <f>$D182*G182*L_CBac!$J$68</f>
        <v>3834.6749999999997</v>
      </c>
      <c r="O182" s="1065">
        <f>$D182*H182*L_CBac!$J$68</f>
        <v>3834.6749999999997</v>
      </c>
      <c r="P182" s="1065">
        <f>$D182*I182*L_CBac!$J$68</f>
        <v>4857.2550000000001</v>
      </c>
      <c r="Q182" s="1072"/>
      <c r="R182" s="876"/>
      <c r="S182" s="876"/>
    </row>
    <row r="183" spans="1:19" s="111" customFormat="1" ht="38.25">
      <c r="A183" s="874" t="str">
        <f>L_CViec!A166</f>
        <v>2</v>
      </c>
      <c r="B183" s="875" t="str">
        <f>L_CViec!B166</f>
        <v>Nhận, kiểm tra tính đầy đủ của thành phần hồ sơ và cấp Giấy tiếp nhận hồ sơ và hẹn trả kết quả hoặc trả lại hồ sơ, vào sổ theo dõi nhận, trả hồ sơ (theo hình thức trực tiếp, trực tuyến)</v>
      </c>
      <c r="C183" s="874" t="str">
        <f>L_CViec!AB166</f>
        <v>Hồ sơ</v>
      </c>
      <c r="D183" s="874">
        <f>L_CViec!AA166</f>
        <v>1</v>
      </c>
      <c r="E183" s="874" t="str">
        <f>L_CViec!AC166</f>
        <v>1KS2</v>
      </c>
      <c r="F183" s="957" t="str">
        <f>L_CViec!AD166</f>
        <v>1-3</v>
      </c>
      <c r="G183" s="881">
        <f>L_CViec!AE166</f>
        <v>0.5</v>
      </c>
      <c r="H183" s="878">
        <f>L_CViec!AF166</f>
        <v>0.5</v>
      </c>
      <c r="I183" s="878">
        <f>L_CViec!AG166</f>
        <v>0.65</v>
      </c>
      <c r="J183" s="876">
        <f>L_CViec!AH166</f>
        <v>296770.5</v>
      </c>
      <c r="K183" s="876">
        <f t="shared" si="24"/>
        <v>148385.25</v>
      </c>
      <c r="L183" s="876">
        <f t="shared" si="25"/>
        <v>148385.25</v>
      </c>
      <c r="M183" s="876">
        <f t="shared" si="26"/>
        <v>192900.82500000001</v>
      </c>
      <c r="N183" s="1065">
        <f>$D183*G183*L_CBac!$J$68</f>
        <v>12782.25</v>
      </c>
      <c r="O183" s="1065">
        <f>$D183*H183*L_CBac!$J$68</f>
        <v>12782.25</v>
      </c>
      <c r="P183" s="1065">
        <f>$D183*I183*L_CBac!$J$68</f>
        <v>16616.924999999999</v>
      </c>
      <c r="Q183" s="1072"/>
      <c r="R183" s="876"/>
      <c r="S183" s="876"/>
    </row>
    <row r="184" spans="1:19" s="111" customFormat="1" ht="25.5">
      <c r="A184" s="874" t="str">
        <f>L_CViec!A167</f>
        <v>3</v>
      </c>
      <c r="B184" s="875" t="str">
        <f>L_CViec!B167</f>
        <v>Tạo tệp (File) dữ liệu hồ sơ số và nhập thông tin do người sử dụng đất, quản lý đất kê khai, đăng ký</v>
      </c>
      <c r="C184" s="874" t="str">
        <f>L_CViec!AB167</f>
        <v>Thửa</v>
      </c>
      <c r="D184" s="874">
        <f>L_CViec!AA167</f>
        <v>1</v>
      </c>
      <c r="E184" s="874" t="str">
        <f>L_CViec!AC167</f>
        <v>1KS3</v>
      </c>
      <c r="F184" s="957" t="str">
        <f>L_CViec!AD167</f>
        <v>1-3</v>
      </c>
      <c r="G184" s="881">
        <f>L_CViec!AE167</f>
        <v>0.107</v>
      </c>
      <c r="H184" s="878">
        <f>L_CViec!AF167</f>
        <v>3.3000000000000002E-2</v>
      </c>
      <c r="I184" s="878">
        <f>L_CViec!AG167</f>
        <v>0.16700000000000001</v>
      </c>
      <c r="J184" s="876">
        <f>L_CViec!AH167</f>
        <v>333450</v>
      </c>
      <c r="K184" s="876">
        <f t="shared" si="24"/>
        <v>35679.15</v>
      </c>
      <c r="L184" s="876">
        <f t="shared" si="25"/>
        <v>11003.85</v>
      </c>
      <c r="M184" s="876">
        <f t="shared" si="26"/>
        <v>55686.15</v>
      </c>
      <c r="N184" s="1065">
        <f>$D184*G184*L_CBac!$J$68</f>
        <v>2735.4014999999999</v>
      </c>
      <c r="O184" s="1065">
        <f>$D184*H184*L_CBac!$J$68</f>
        <v>843.62850000000003</v>
      </c>
      <c r="P184" s="1065">
        <f>$D184*I184*L_CBac!$J$68</f>
        <v>4269.2714999999998</v>
      </c>
      <c r="Q184" s="1072"/>
      <c r="R184" s="876"/>
      <c r="S184" s="876"/>
    </row>
    <row r="185" spans="1:19" s="111" customFormat="1" ht="25.5">
      <c r="A185" s="874" t="str">
        <f>L_CViec!A168</f>
        <v>4</v>
      </c>
      <c r="B185" s="875" t="str">
        <f>L_CViec!B168</f>
        <v>Quét giấy tờ pháp lý về quyền sử dụng đất, quyền sở hữu nhà ở và tài sản khác gắn liền với đất</v>
      </c>
      <c r="C185" s="874">
        <f>L_CViec!AB168</f>
        <v>0</v>
      </c>
      <c r="D185" s="874">
        <f>L_CViec!AA168</f>
        <v>0</v>
      </c>
      <c r="E185" s="874">
        <f>L_CViec!AC168</f>
        <v>0</v>
      </c>
      <c r="F185" s="957">
        <f>L_CViec!AD168</f>
        <v>0</v>
      </c>
      <c r="G185" s="881">
        <f>L_CViec!AE168</f>
        <v>0</v>
      </c>
      <c r="H185" s="878">
        <f>L_CViec!AF168</f>
        <v>0</v>
      </c>
      <c r="I185" s="878">
        <f>L_CViec!AG168</f>
        <v>0</v>
      </c>
      <c r="J185" s="876">
        <f>L_CViec!AH168</f>
        <v>0</v>
      </c>
      <c r="K185" s="876">
        <f t="shared" si="24"/>
        <v>0</v>
      </c>
      <c r="L185" s="876">
        <f t="shared" si="25"/>
        <v>0</v>
      </c>
      <c r="M185" s="876">
        <f t="shared" si="26"/>
        <v>0</v>
      </c>
      <c r="N185" s="1065">
        <f>$D185*G185*L_CBac!$J$68</f>
        <v>0</v>
      </c>
      <c r="O185" s="1065">
        <f>$D185*H185*L_CBac!$J$68</f>
        <v>0</v>
      </c>
      <c r="P185" s="1065">
        <f>$D185*I185*L_CBac!$J$68</f>
        <v>0</v>
      </c>
      <c r="Q185" s="1072"/>
      <c r="R185" s="876"/>
      <c r="S185" s="876"/>
    </row>
    <row r="186" spans="1:19" s="111" customFormat="1">
      <c r="A186" s="874" t="str">
        <f>L_CViec!A169</f>
        <v>4.1</v>
      </c>
      <c r="B186" s="875" t="str">
        <f>L_CViec!B169</f>
        <v>Quét trang A3</v>
      </c>
      <c r="C186" s="874" t="str">
        <f>L_CViec!AB169</f>
        <v>Trang</v>
      </c>
      <c r="D186" s="874">
        <f>L_CViec!AA169</f>
        <v>1</v>
      </c>
      <c r="E186" s="874" t="str">
        <f>L_CViec!AC169</f>
        <v>1KS1</v>
      </c>
      <c r="F186" s="957" t="str">
        <f>L_CViec!AD169</f>
        <v>1-3</v>
      </c>
      <c r="G186" s="881">
        <f>L_CViec!AE169</f>
        <v>1.6E-2</v>
      </c>
      <c r="H186" s="878">
        <f>L_CViec!AF169</f>
        <v>1.6E-2</v>
      </c>
      <c r="I186" s="878">
        <f>L_CViec!AG169</f>
        <v>0.02</v>
      </c>
      <c r="J186" s="876">
        <f>L_CViec!AH169</f>
        <v>260091</v>
      </c>
      <c r="K186" s="876">
        <f t="shared" si="24"/>
        <v>4161.4560000000001</v>
      </c>
      <c r="L186" s="876">
        <f t="shared" si="25"/>
        <v>4161.4560000000001</v>
      </c>
      <c r="M186" s="876">
        <f t="shared" si="26"/>
        <v>5201.82</v>
      </c>
      <c r="N186" s="1065">
        <f>$D186*G186*L_CBac!$J$68</f>
        <v>409.03199999999998</v>
      </c>
      <c r="O186" s="1065">
        <f>$D186*H186*L_CBac!$J$68</f>
        <v>409.03199999999998</v>
      </c>
      <c r="P186" s="1065">
        <f>$D186*I186*L_CBac!$J$68</f>
        <v>511.29</v>
      </c>
      <c r="Q186" s="1072"/>
      <c r="R186" s="876"/>
      <c r="S186" s="876"/>
    </row>
    <row r="187" spans="1:19" s="111" customFormat="1">
      <c r="A187" s="874" t="str">
        <f>L_CViec!A170</f>
        <v>4.2</v>
      </c>
      <c r="B187" s="875" t="str">
        <f>L_CViec!B170</f>
        <v>Quét trang A4</v>
      </c>
      <c r="C187" s="874" t="str">
        <f>L_CViec!AB170</f>
        <v>Trang</v>
      </c>
      <c r="D187" s="874">
        <f>L_CViec!AA170</f>
        <v>1</v>
      </c>
      <c r="E187" s="874" t="str">
        <f>L_CViec!AC170</f>
        <v>1KS1</v>
      </c>
      <c r="F187" s="957" t="str">
        <f>L_CViec!AD170</f>
        <v>1-3</v>
      </c>
      <c r="G187" s="881">
        <f>L_CViec!AE170</f>
        <v>8.0000000000000002E-3</v>
      </c>
      <c r="H187" s="878">
        <f>L_CViec!AF170</f>
        <v>8.0000000000000002E-3</v>
      </c>
      <c r="I187" s="878">
        <f>L_CViec!AG170</f>
        <v>0.01</v>
      </c>
      <c r="J187" s="876">
        <f>L_CViec!AH170</f>
        <v>260091</v>
      </c>
      <c r="K187" s="876">
        <f t="shared" si="24"/>
        <v>2080.7280000000001</v>
      </c>
      <c r="L187" s="876">
        <f t="shared" si="25"/>
        <v>2080.7280000000001</v>
      </c>
      <c r="M187" s="876">
        <f t="shared" si="26"/>
        <v>2600.91</v>
      </c>
      <c r="N187" s="1065">
        <f>$D187*G187*L_CBac!$J$68</f>
        <v>204.51599999999999</v>
      </c>
      <c r="O187" s="1065">
        <f>$D187*H187*L_CBac!$J$68</f>
        <v>204.51599999999999</v>
      </c>
      <c r="P187" s="1065">
        <f>$D187*I187*L_CBac!$J$68</f>
        <v>255.64500000000001</v>
      </c>
      <c r="Q187" s="1072"/>
      <c r="R187" s="876"/>
      <c r="S187" s="876"/>
    </row>
    <row r="188" spans="1:19" s="111" customFormat="1" ht="25.5">
      <c r="A188" s="874" t="str">
        <f>L_CViec!A171</f>
        <v>5</v>
      </c>
      <c r="B188" s="875" t="str">
        <f>L_CViec!B171</f>
        <v>Xử lý các tệp tin quét thành tệp (File) hồ sơ quét dạng số của thửa đất, lưu trữ dưới khuôn dạng tệp tin PDF</v>
      </c>
      <c r="C188" s="874" t="str">
        <f>L_CViec!AB171</f>
        <v>Trang</v>
      </c>
      <c r="D188" s="874">
        <f>L_CViec!AA171</f>
        <v>1</v>
      </c>
      <c r="E188" s="874" t="str">
        <f>L_CViec!AC171</f>
        <v>1KS1</v>
      </c>
      <c r="F188" s="957" t="str">
        <f>L_CViec!AD171</f>
        <v>1-3</v>
      </c>
      <c r="G188" s="881">
        <f>L_CViec!AE171</f>
        <v>4.0000000000000001E-3</v>
      </c>
      <c r="H188" s="878">
        <f>L_CViec!AF171</f>
        <v>4.0000000000000001E-3</v>
      </c>
      <c r="I188" s="878">
        <f>L_CViec!AG171</f>
        <v>5.0000000000000001E-3</v>
      </c>
      <c r="J188" s="876">
        <f>L_CViec!AH171</f>
        <v>260091</v>
      </c>
      <c r="K188" s="876">
        <f t="shared" si="24"/>
        <v>1040.364</v>
      </c>
      <c r="L188" s="876">
        <f t="shared" si="25"/>
        <v>1040.364</v>
      </c>
      <c r="M188" s="876">
        <f t="shared" si="26"/>
        <v>1300.4549999999999</v>
      </c>
      <c r="N188" s="1065">
        <f>$D188*G188*L_CBac!$J$68</f>
        <v>102.258</v>
      </c>
      <c r="O188" s="1065">
        <f>$D188*H188*L_CBac!$J$68</f>
        <v>102.258</v>
      </c>
      <c r="P188" s="1065">
        <f>$D188*I188*L_CBac!$J$68</f>
        <v>127.82250000000001</v>
      </c>
      <c r="Q188" s="1072"/>
      <c r="R188" s="876"/>
      <c r="S188" s="876"/>
    </row>
    <row r="189" spans="1:19" s="111" customFormat="1" ht="25.5">
      <c r="A189" s="874" t="str">
        <f>L_CViec!A172</f>
        <v>6</v>
      </c>
      <c r="B189" s="875" t="str">
        <f>L_CViec!B172</f>
        <v xml:space="preserve">Kiểm tra thực tế sử dụng đất của tổ chức, xác định ranh giới cụ thể của thửa đất đối với tổ chức </v>
      </c>
      <c r="C189" s="874" t="str">
        <f>L_CViec!AB172</f>
        <v>Hồ sơ</v>
      </c>
      <c r="D189" s="874">
        <f>L_CViec!AA172</f>
        <v>2</v>
      </c>
      <c r="E189" s="874" t="str">
        <f>L_CViec!AC172</f>
        <v>1KS2,1KTV4</v>
      </c>
      <c r="F189" s="957" t="str">
        <f>L_CViec!AD172</f>
        <v>1</v>
      </c>
      <c r="G189" s="881">
        <f>L_CViec!AE172</f>
        <v>1</v>
      </c>
      <c r="H189" s="878">
        <f>L_CViec!AF172</f>
        <v>1</v>
      </c>
      <c r="I189" s="878">
        <f>L_CViec!AG172</f>
        <v>1.3</v>
      </c>
      <c r="J189" s="876">
        <f>L_CViec!AH172</f>
        <v>570199.5</v>
      </c>
      <c r="K189" s="876">
        <f t="shared" si="24"/>
        <v>570199.5</v>
      </c>
      <c r="L189" s="876">
        <f t="shared" si="25"/>
        <v>570199.5</v>
      </c>
      <c r="M189" s="876">
        <f t="shared" si="26"/>
        <v>741259.35</v>
      </c>
      <c r="N189" s="1065">
        <f>$D189*G189*L_CBac!$J$68</f>
        <v>51129</v>
      </c>
      <c r="O189" s="1065">
        <f>$D189*H189*L_CBac!$J$68</f>
        <v>51129</v>
      </c>
      <c r="P189" s="1065">
        <f>$D189*I189*L_CBac!$J$68</f>
        <v>66467.7</v>
      </c>
      <c r="Q189" s="1072"/>
      <c r="R189" s="876"/>
      <c r="S189" s="876"/>
    </row>
    <row r="190" spans="1:19" s="111" customFormat="1">
      <c r="A190" s="874">
        <f>L_CViec!A173</f>
        <v>0</v>
      </c>
      <c r="B190" s="875">
        <f>L_CViec!B173</f>
        <v>0</v>
      </c>
      <c r="C190" s="874">
        <f>L_CViec!AB173</f>
        <v>0</v>
      </c>
      <c r="D190" s="874">
        <f>L_CViec!AA173</f>
        <v>1</v>
      </c>
      <c r="E190" s="874">
        <f>L_CViec!AC173</f>
        <v>0</v>
      </c>
      <c r="F190" s="957">
        <f>L_CViec!AD173</f>
        <v>0</v>
      </c>
      <c r="G190" s="881">
        <f>L_CViec!AE173</f>
        <v>0.59</v>
      </c>
      <c r="H190" s="878">
        <f>L_CViec!AF173</f>
        <v>0.59</v>
      </c>
      <c r="I190" s="878">
        <f>L_CViec!AG173</f>
        <v>0.76700000000000002</v>
      </c>
      <c r="J190" s="876">
        <f>L_CViec!AH173</f>
        <v>181923.07692307694</v>
      </c>
      <c r="K190" s="876">
        <f t="shared" si="24"/>
        <v>107334.61538461539</v>
      </c>
      <c r="L190" s="876">
        <f t="shared" si="25"/>
        <v>107334.61538461539</v>
      </c>
      <c r="M190" s="876">
        <f t="shared" si="26"/>
        <v>139535</v>
      </c>
      <c r="N190" s="1065">
        <f>$D190*G190*L_CBac!$J$68</f>
        <v>15083.054999999998</v>
      </c>
      <c r="O190" s="1065">
        <f>$D190*H190*L_CBac!$J$68</f>
        <v>15083.054999999998</v>
      </c>
      <c r="P190" s="1065">
        <f>$D190*I190*L_CBac!$J$68</f>
        <v>19607.9715</v>
      </c>
      <c r="Q190" s="1072"/>
      <c r="R190" s="876"/>
      <c r="S190" s="876"/>
    </row>
    <row r="191" spans="1:19" s="111" customFormat="1">
      <c r="A191" s="874">
        <f>L_CViec!A174</f>
        <v>0</v>
      </c>
      <c r="B191" s="875">
        <f>L_CViec!B174</f>
        <v>0</v>
      </c>
      <c r="C191" s="874">
        <f>L_CViec!AB174</f>
        <v>0</v>
      </c>
      <c r="D191" s="874">
        <f>L_CViec!AA174</f>
        <v>2</v>
      </c>
      <c r="E191" s="874">
        <f>L_CViec!AC174</f>
        <v>0</v>
      </c>
      <c r="F191" s="957">
        <f>L_CViec!AD174</f>
        <v>2</v>
      </c>
      <c r="G191" s="881">
        <f>L_CViec!AE174</f>
        <v>1.1000000000000001</v>
      </c>
      <c r="H191" s="878">
        <f>L_CViec!AF174</f>
        <v>1.1000000000000001</v>
      </c>
      <c r="I191" s="878">
        <f>L_CViec!AG174</f>
        <v>1.43</v>
      </c>
      <c r="J191" s="876">
        <f>L_CViec!AH174</f>
        <v>570199.5</v>
      </c>
      <c r="K191" s="876">
        <f t="shared" si="24"/>
        <v>627219.45000000007</v>
      </c>
      <c r="L191" s="876">
        <f t="shared" si="25"/>
        <v>627219.45000000007</v>
      </c>
      <c r="M191" s="876">
        <f t="shared" si="26"/>
        <v>815385.28499999992</v>
      </c>
      <c r="N191" s="1065">
        <f>$D191*G191*L_CBac!$J$68</f>
        <v>56241.9</v>
      </c>
      <c r="O191" s="1065">
        <f>$D191*H191*L_CBac!$J$68</f>
        <v>56241.9</v>
      </c>
      <c r="P191" s="1065">
        <f>$D191*I191*L_CBac!$J$68</f>
        <v>73114.47</v>
      </c>
      <c r="Q191" s="1072"/>
      <c r="R191" s="876"/>
      <c r="S191" s="876"/>
    </row>
    <row r="192" spans="1:19" s="111" customFormat="1">
      <c r="A192" s="874">
        <f>L_CViec!A175</f>
        <v>0</v>
      </c>
      <c r="B192" s="875">
        <f>L_CViec!B175</f>
        <v>0</v>
      </c>
      <c r="C192" s="874">
        <f>L_CViec!AB175</f>
        <v>0</v>
      </c>
      <c r="D192" s="874">
        <f>L_CViec!AA175</f>
        <v>1</v>
      </c>
      <c r="E192" s="874">
        <f>L_CViec!AC175</f>
        <v>0</v>
      </c>
      <c r="F192" s="957">
        <f>L_CViec!AD175</f>
        <v>0</v>
      </c>
      <c r="G192" s="881">
        <f>L_CViec!AE175</f>
        <v>0.65</v>
      </c>
      <c r="H192" s="878">
        <f>L_CViec!AF175</f>
        <v>0.65</v>
      </c>
      <c r="I192" s="878">
        <f>L_CViec!AG175</f>
        <v>0.84499999999999997</v>
      </c>
      <c r="J192" s="876">
        <f>L_CViec!AH175</f>
        <v>181923.07692307694</v>
      </c>
      <c r="K192" s="876">
        <f t="shared" si="24"/>
        <v>118250.00000000001</v>
      </c>
      <c r="L192" s="876">
        <f t="shared" si="25"/>
        <v>118250.00000000001</v>
      </c>
      <c r="M192" s="876">
        <f t="shared" si="26"/>
        <v>153725</v>
      </c>
      <c r="N192" s="1065">
        <f>$D192*G192*L_CBac!$J$68</f>
        <v>16616.924999999999</v>
      </c>
      <c r="O192" s="1065">
        <f>$D192*H192*L_CBac!$J$68</f>
        <v>16616.924999999999</v>
      </c>
      <c r="P192" s="1065">
        <f>$D192*I192*L_CBac!$J$68</f>
        <v>21602.002499999999</v>
      </c>
      <c r="Q192" s="1072"/>
      <c r="R192" s="876"/>
      <c r="S192" s="876"/>
    </row>
    <row r="193" spans="1:19" s="111" customFormat="1">
      <c r="A193" s="874">
        <f>L_CViec!A176</f>
        <v>0</v>
      </c>
      <c r="B193" s="875">
        <f>L_CViec!B176</f>
        <v>0</v>
      </c>
      <c r="C193" s="874">
        <f>L_CViec!AB176</f>
        <v>0</v>
      </c>
      <c r="D193" s="874">
        <f>L_CViec!AA176</f>
        <v>2</v>
      </c>
      <c r="E193" s="874">
        <f>L_CViec!AC176</f>
        <v>0</v>
      </c>
      <c r="F193" s="957" t="str">
        <f>L_CViec!AD176</f>
        <v>3</v>
      </c>
      <c r="G193" s="881">
        <f>L_CViec!AE176</f>
        <v>1.21</v>
      </c>
      <c r="H193" s="878">
        <f>L_CViec!AF176</f>
        <v>1.21</v>
      </c>
      <c r="I193" s="878">
        <f>L_CViec!AG176</f>
        <v>1.573</v>
      </c>
      <c r="J193" s="876">
        <f>L_CViec!AH176</f>
        <v>570199.5</v>
      </c>
      <c r="K193" s="876">
        <f t="shared" si="24"/>
        <v>689941.39500000002</v>
      </c>
      <c r="L193" s="876">
        <f t="shared" si="25"/>
        <v>689941.39500000002</v>
      </c>
      <c r="M193" s="876">
        <f t="shared" si="26"/>
        <v>896923.81349999993</v>
      </c>
      <c r="N193" s="1065">
        <f>$D193*G193*L_CBac!$J$68</f>
        <v>61866.09</v>
      </c>
      <c r="O193" s="1065">
        <f>$D193*H193*L_CBac!$J$68</f>
        <v>61866.09</v>
      </c>
      <c r="P193" s="1065">
        <f>$D193*I193*L_CBac!$J$68</f>
        <v>80425.917000000001</v>
      </c>
      <c r="Q193" s="1072"/>
      <c r="R193" s="876"/>
      <c r="S193" s="876"/>
    </row>
    <row r="194" spans="1:19" s="111" customFormat="1">
      <c r="A194" s="874">
        <f>L_CViec!A177</f>
        <v>0</v>
      </c>
      <c r="B194" s="875">
        <f>L_CViec!B177</f>
        <v>0</v>
      </c>
      <c r="C194" s="874">
        <f>L_CViec!AB177</f>
        <v>0</v>
      </c>
      <c r="D194" s="874">
        <f>L_CViec!AA177</f>
        <v>1</v>
      </c>
      <c r="E194" s="874">
        <f>L_CViec!AC177</f>
        <v>0</v>
      </c>
      <c r="F194" s="957">
        <f>L_CViec!AD177</f>
        <v>0</v>
      </c>
      <c r="G194" s="881">
        <f>L_CViec!AE177</f>
        <v>0.71</v>
      </c>
      <c r="H194" s="878">
        <f>L_CViec!AF177</f>
        <v>0.71</v>
      </c>
      <c r="I194" s="878">
        <f>L_CViec!AG177</f>
        <v>0.92300000000000004</v>
      </c>
      <c r="J194" s="876">
        <f>L_CViec!AH177</f>
        <v>181923.07692307694</v>
      </c>
      <c r="K194" s="876">
        <f t="shared" si="24"/>
        <v>129165.38461538462</v>
      </c>
      <c r="L194" s="876">
        <f t="shared" si="25"/>
        <v>129165.38461538462</v>
      </c>
      <c r="M194" s="876">
        <f t="shared" si="26"/>
        <v>167915.00000000003</v>
      </c>
      <c r="N194" s="1065">
        <f>$D194*G194*L_CBac!$J$68</f>
        <v>18150.794999999998</v>
      </c>
      <c r="O194" s="1065">
        <f>$D194*H194*L_CBac!$J$68</f>
        <v>18150.794999999998</v>
      </c>
      <c r="P194" s="1065">
        <f>$D194*I194*L_CBac!$J$68</f>
        <v>23596.033500000001</v>
      </c>
      <c r="Q194" s="1072"/>
      <c r="R194" s="876"/>
      <c r="S194" s="876"/>
    </row>
    <row r="195" spans="1:19" s="111" customFormat="1" ht="25.5">
      <c r="A195" s="874" t="str">
        <f>L_CViec!A178</f>
        <v>7</v>
      </c>
      <c r="B195" s="875" t="str">
        <f>L_CViec!B178</f>
        <v>Lập biên bản kiểm tra việc sử dụng đất, ranh giới sử dụng đất của tổ chức</v>
      </c>
      <c r="C195" s="874" t="str">
        <f>L_CViec!AB178</f>
        <v>Hồ sơ</v>
      </c>
      <c r="D195" s="874">
        <f>L_CViec!AA178</f>
        <v>1</v>
      </c>
      <c r="E195" s="874" t="str">
        <f>L_CViec!AC178</f>
        <v>1KS2</v>
      </c>
      <c r="F195" s="957" t="str">
        <f>L_CViec!AD178</f>
        <v>1-3</v>
      </c>
      <c r="G195" s="881">
        <f>L_CViec!AE178</f>
        <v>0.05</v>
      </c>
      <c r="H195" s="878">
        <f>L_CViec!AF178</f>
        <v>0.05</v>
      </c>
      <c r="I195" s="878">
        <f>L_CViec!AG178</f>
        <v>0.05</v>
      </c>
      <c r="J195" s="876">
        <f>L_CViec!AH178</f>
        <v>296770.5</v>
      </c>
      <c r="K195" s="876">
        <f t="shared" si="24"/>
        <v>14838.525000000001</v>
      </c>
      <c r="L195" s="876">
        <f t="shared" si="25"/>
        <v>14838.525000000001</v>
      </c>
      <c r="M195" s="876">
        <f t="shared" si="26"/>
        <v>14838.525000000001</v>
      </c>
      <c r="N195" s="1065">
        <f>$D195*G195*L_CBac!$J$68</f>
        <v>1278.2250000000001</v>
      </c>
      <c r="O195" s="1065">
        <f>$D195*H195*L_CBac!$J$68</f>
        <v>1278.2250000000001</v>
      </c>
      <c r="P195" s="1065">
        <f>$D195*I195*L_CBac!$J$68</f>
        <v>1278.2250000000001</v>
      </c>
      <c r="Q195" s="1072"/>
      <c r="R195" s="876"/>
      <c r="S195" s="876"/>
    </row>
    <row r="196" spans="1:19" s="111" customFormat="1" ht="25.5">
      <c r="A196" s="874">
        <f>L_CViec!A179</f>
        <v>8</v>
      </c>
      <c r="B196" s="875" t="str">
        <f>L_CViec!B179</f>
        <v>Chuyển toàn bộ hồ sơ đến cơ quan có chức năng quản lý đất đai cấp tỉnh</v>
      </c>
      <c r="C196" s="874" t="str">
        <f>L_CViec!AB179</f>
        <v>Hồ sơ</v>
      </c>
      <c r="D196" s="874">
        <f>L_CViec!AA179</f>
        <v>1</v>
      </c>
      <c r="E196" s="874" t="str">
        <f>L_CViec!AC179</f>
        <v>1KS2</v>
      </c>
      <c r="F196" s="957" t="str">
        <f>L_CViec!AD179</f>
        <v>1-3</v>
      </c>
      <c r="G196" s="881">
        <f>L_CViec!AE179</f>
        <v>0.05</v>
      </c>
      <c r="H196" s="878">
        <f>L_CViec!AF179</f>
        <v>0.05</v>
      </c>
      <c r="I196" s="878">
        <f>L_CViec!AG179</f>
        <v>0.05</v>
      </c>
      <c r="J196" s="876">
        <f>L_CViec!AH179</f>
        <v>296770.5</v>
      </c>
      <c r="K196" s="876">
        <f t="shared" si="24"/>
        <v>14838.525000000001</v>
      </c>
      <c r="L196" s="876">
        <f t="shared" si="25"/>
        <v>14838.525000000001</v>
      </c>
      <c r="M196" s="876">
        <f t="shared" si="26"/>
        <v>14838.525000000001</v>
      </c>
      <c r="N196" s="1065">
        <f>$D196*G196*L_CBac!$J$68</f>
        <v>1278.2250000000001</v>
      </c>
      <c r="O196" s="1065">
        <f>$D196*H196*L_CBac!$J$68</f>
        <v>1278.2250000000001</v>
      </c>
      <c r="P196" s="1065">
        <f>$D196*I196*L_CBac!$J$68</f>
        <v>1278.2250000000001</v>
      </c>
      <c r="Q196" s="1072"/>
      <c r="R196" s="876"/>
      <c r="S196" s="876"/>
    </row>
    <row r="197" spans="1:19" s="111" customFormat="1" ht="23.25" customHeight="1">
      <c r="A197" s="874">
        <f>L_CViec!A180</f>
        <v>9</v>
      </c>
      <c r="B197" s="875" t="str">
        <f>L_CViec!B180</f>
        <v>Nhận thông báo, cập nhật HSĐC từ cấp tỉnh chuyển xuống</v>
      </c>
      <c r="C197" s="874" t="str">
        <f>L_CViec!AB180</f>
        <v>Hồ sơ</v>
      </c>
      <c r="D197" s="874">
        <f>L_CViec!AA180</f>
        <v>1</v>
      </c>
      <c r="E197" s="874" t="str">
        <f>L_CViec!AC180</f>
        <v>1KS2</v>
      </c>
      <c r="F197" s="957" t="str">
        <f>L_CViec!AD180</f>
        <v>1-3</v>
      </c>
      <c r="G197" s="881">
        <f>L_CViec!AE180</f>
        <v>0.04</v>
      </c>
      <c r="H197" s="878">
        <f>L_CViec!AF180</f>
        <v>0.04</v>
      </c>
      <c r="I197" s="878">
        <f>L_CViec!AG180</f>
        <v>5.1999999999999998E-2</v>
      </c>
      <c r="J197" s="876">
        <f>L_CViec!AH180</f>
        <v>296770.5</v>
      </c>
      <c r="K197" s="876">
        <f t="shared" si="24"/>
        <v>11870.82</v>
      </c>
      <c r="L197" s="876">
        <f t="shared" si="25"/>
        <v>11870.82</v>
      </c>
      <c r="M197" s="876">
        <f t="shared" si="26"/>
        <v>15432.065999999999</v>
      </c>
      <c r="N197" s="1065">
        <f>$D197*G197*L_CBac!$J$68</f>
        <v>1022.58</v>
      </c>
      <c r="O197" s="1065">
        <f>$D197*H197*L_CBac!$J$68</f>
        <v>1022.58</v>
      </c>
      <c r="P197" s="1065">
        <f>$D197*I197*L_CBac!$J$68</f>
        <v>1329.354</v>
      </c>
      <c r="Q197" s="1072"/>
      <c r="R197" s="876"/>
      <c r="S197" s="876"/>
    </row>
    <row r="198" spans="1:19" s="111" customFormat="1" ht="36.75" customHeight="1">
      <c r="A198" s="511" t="str">
        <f>L_CViec!A181</f>
        <v>III.2</v>
      </c>
      <c r="B198" s="999" t="str">
        <f>L_CViec!B181</f>
        <v>CÁC NỘI DUNG THỰC HIỆN TẠI ĐỊA BÀN CẤP TỈNH</v>
      </c>
      <c r="C198" s="874">
        <f>L_CViec!AB181</f>
        <v>0</v>
      </c>
      <c r="D198" s="874">
        <f>L_CViec!AA181</f>
        <v>0</v>
      </c>
      <c r="E198" s="874">
        <f>L_CViec!AC181</f>
        <v>0</v>
      </c>
      <c r="F198" s="957">
        <f>L_CViec!AD181</f>
        <v>0</v>
      </c>
      <c r="G198" s="881"/>
      <c r="H198" s="878"/>
      <c r="I198" s="878"/>
      <c r="J198" s="876"/>
      <c r="K198" s="1066">
        <f t="shared" ref="K198:P198" si="27">SUM(K199,K200,K201,K203,K205,K206,K207,K209,K211,K212,K213,K219,K220)</f>
        <v>1436159.1465000003</v>
      </c>
      <c r="L198" s="1066">
        <f t="shared" si="27"/>
        <v>1369469.1465000003</v>
      </c>
      <c r="M198" s="1066">
        <f t="shared" si="27"/>
        <v>1826555.7375000005</v>
      </c>
      <c r="N198" s="1064">
        <f t="shared" si="27"/>
        <v>114247.75049999998</v>
      </c>
      <c r="O198" s="1064">
        <f t="shared" si="27"/>
        <v>109134.85049999999</v>
      </c>
      <c r="P198" s="1064">
        <f t="shared" si="27"/>
        <v>145308.61799999996</v>
      </c>
      <c r="Q198" s="1072">
        <f>$D198*G198*L_CBac!$J$69</f>
        <v>0</v>
      </c>
      <c r="R198" s="876">
        <f>$D198*H198*L_CBac!$J$69</f>
        <v>0</v>
      </c>
      <c r="S198" s="876">
        <f>$D198*I198*L_CBac!$J$69</f>
        <v>0</v>
      </c>
    </row>
    <row r="199" spans="1:19" s="85" customFormat="1" ht="25.5">
      <c r="A199" s="1120" t="str">
        <f>L_CViec!A182</f>
        <v>1</v>
      </c>
      <c r="B199" s="1121" t="str">
        <f>L_CViec!B182</f>
        <v>Lập Tờ trình kèm theo hồ sơ và dự thảo Quyết định về hình thức sử dụng đất trình Chủ tịch Ủy ban nhân dân tỉnh</v>
      </c>
      <c r="C199" s="1120" t="str">
        <f>L_CViec!AB182</f>
        <v>Hồ sơ</v>
      </c>
      <c r="D199" s="1120">
        <f>L_CViec!AA182</f>
        <v>1</v>
      </c>
      <c r="E199" s="1120" t="str">
        <f>L_CViec!AC182</f>
        <v>1KS3</v>
      </c>
      <c r="F199" s="1122" t="str">
        <f>L_CViec!AD182</f>
        <v>1-3</v>
      </c>
      <c r="G199" s="1123">
        <f>L_CViec!AE182</f>
        <v>1</v>
      </c>
      <c r="H199" s="1124">
        <f>L_CViec!AF182</f>
        <v>1</v>
      </c>
      <c r="I199" s="1124">
        <f>L_CViec!AG182</f>
        <v>1.3</v>
      </c>
      <c r="J199" s="1125">
        <f>L_CViec!AH182</f>
        <v>333450</v>
      </c>
      <c r="K199" s="1125">
        <f t="shared" ref="K199:M214" si="28">G199*$J199</f>
        <v>333450</v>
      </c>
      <c r="L199" s="1125">
        <f t="shared" si="28"/>
        <v>333450</v>
      </c>
      <c r="M199" s="1125">
        <f t="shared" si="28"/>
        <v>433485</v>
      </c>
      <c r="N199" s="1065">
        <f>$D199*G199*L_CBac!$J$68</f>
        <v>25564.5</v>
      </c>
      <c r="O199" s="1065">
        <f>$D199*H199*L_CBac!$J$68</f>
        <v>25564.5</v>
      </c>
      <c r="P199" s="1065">
        <f>$D199*I199*L_CBac!$J$68</f>
        <v>33233.85</v>
      </c>
      <c r="Q199" s="1072">
        <f>$D199*G199*L_CBac!$J$69</f>
        <v>28076.923076923078</v>
      </c>
      <c r="R199" s="876">
        <f>$D199*H199*L_CBac!$J$69</f>
        <v>28076.923076923078</v>
      </c>
      <c r="S199" s="876">
        <f>$D199*I199*L_CBac!$J$69</f>
        <v>36500</v>
      </c>
    </row>
    <row r="200" spans="1:19" s="85" customFormat="1" ht="29.25" customHeight="1">
      <c r="A200" s="1120" t="str">
        <f>L_CViec!A183</f>
        <v>2</v>
      </c>
      <c r="B200" s="1121" t="str">
        <f>L_CViec!B183</f>
        <v>Quyết định hình thức sử dụng đất</v>
      </c>
      <c r="C200" s="1120" t="str">
        <f>L_CViec!AB183</f>
        <v>Hồ sơ</v>
      </c>
      <c r="D200" s="1120">
        <f>L_CViec!AA183</f>
        <v>1</v>
      </c>
      <c r="E200" s="1120" t="str">
        <f>L_CViec!AC183</f>
        <v>1KS3</v>
      </c>
      <c r="F200" s="1122" t="str">
        <f>L_CViec!AD183</f>
        <v>1-3</v>
      </c>
      <c r="G200" s="1123">
        <f>L_CViec!AE183</f>
        <v>0.05</v>
      </c>
      <c r="H200" s="1124">
        <f>L_CViec!AF183</f>
        <v>0.05</v>
      </c>
      <c r="I200" s="1124">
        <f>L_CViec!AG183</f>
        <v>0.05</v>
      </c>
      <c r="J200" s="1125">
        <f>L_CViec!AH183</f>
        <v>333450</v>
      </c>
      <c r="K200" s="1125">
        <f t="shared" si="28"/>
        <v>16672.5</v>
      </c>
      <c r="L200" s="1125">
        <f t="shared" si="28"/>
        <v>16672.5</v>
      </c>
      <c r="M200" s="1125">
        <f t="shared" si="28"/>
        <v>16672.5</v>
      </c>
      <c r="N200" s="1065">
        <f>$D200*G200*L_CBac!$J$68</f>
        <v>1278.2250000000001</v>
      </c>
      <c r="O200" s="1065">
        <f>$D200*H200*L_CBac!$J$68</f>
        <v>1278.2250000000001</v>
      </c>
      <c r="P200" s="1065">
        <f>$D200*I200*L_CBac!$J$68</f>
        <v>1278.2250000000001</v>
      </c>
      <c r="Q200" s="1072">
        <f>$D200*G200*L_CBac!$J$69</f>
        <v>1403.846153846154</v>
      </c>
      <c r="R200" s="876">
        <f>$D200*H200*L_CBac!$J$69</f>
        <v>1403.846153846154</v>
      </c>
      <c r="S200" s="876">
        <f>$D200*I200*L_CBac!$J$69</f>
        <v>1403.846153846154</v>
      </c>
    </row>
    <row r="201" spans="1:19" s="471" customFormat="1" ht="48.75" customHeight="1">
      <c r="A201" s="1120">
        <f>L_CViec!A184</f>
        <v>3</v>
      </c>
      <c r="B201" s="1121" t="str">
        <f>L_CViec!B184</f>
        <v>Nhận lại hồ sơ và Quyết định hình thức sử dụng đất từ Ủy ban nhân dân tỉnh</v>
      </c>
      <c r="C201" s="1120" t="str">
        <f>L_CViec!AB184</f>
        <v>Hồ sơ</v>
      </c>
      <c r="D201" s="1120">
        <f>L_CViec!AA184</f>
        <v>1</v>
      </c>
      <c r="E201" s="1120" t="str">
        <f>L_CViec!AC184</f>
        <v>1KS2</v>
      </c>
      <c r="F201" s="1122" t="str">
        <f>L_CViec!AD184</f>
        <v>1-3</v>
      </c>
      <c r="G201" s="1123">
        <f>L_CViec!AE184</f>
        <v>0.47</v>
      </c>
      <c r="H201" s="1124">
        <f>L_CViec!AF184</f>
        <v>0.47</v>
      </c>
      <c r="I201" s="1124">
        <f>L_CViec!AG184</f>
        <v>0.61099999999999999</v>
      </c>
      <c r="J201" s="1125">
        <f>L_CViec!AH184</f>
        <v>296770.5</v>
      </c>
      <c r="K201" s="1125">
        <f t="shared" si="28"/>
        <v>139482.13499999998</v>
      </c>
      <c r="L201" s="1125">
        <f t="shared" si="28"/>
        <v>139482.13499999998</v>
      </c>
      <c r="M201" s="1125">
        <f t="shared" si="28"/>
        <v>181326.77549999999</v>
      </c>
      <c r="N201" s="1065">
        <f>$D201*G201*L_CBac!$J$68</f>
        <v>12015.314999999999</v>
      </c>
      <c r="O201" s="1065">
        <f>$D201*H201*L_CBac!$J$68</f>
        <v>12015.314999999999</v>
      </c>
      <c r="P201" s="1065">
        <f>$D201*I201*L_CBac!$J$68</f>
        <v>15619.9095</v>
      </c>
      <c r="Q201" s="1073">
        <f>$D201*G201*L_CBac!$J$69</f>
        <v>13196.153846153846</v>
      </c>
      <c r="R201" s="899">
        <f>$D201*H201*L_CBac!$J$69</f>
        <v>13196.153846153846</v>
      </c>
      <c r="S201" s="899">
        <f>$D201*I201*L_CBac!$J$69</f>
        <v>17155</v>
      </c>
    </row>
    <row r="202" spans="1:19" s="111" customFormat="1" ht="25.5">
      <c r="A202" s="1120" t="str">
        <f>L_CViec!A185</f>
        <v>4</v>
      </c>
      <c r="B202" s="1121" t="str">
        <f>L_CViec!B185</f>
        <v>Xác định giá đất, lập và gửi Phiếu chuyển thông tin để xác định nghĩa vụ tài chính về đất đai sang cơ quan thuế</v>
      </c>
      <c r="C202" s="1120">
        <f>L_CViec!AB185</f>
        <v>0</v>
      </c>
      <c r="D202" s="1120">
        <f>L_CViec!AA185</f>
        <v>0</v>
      </c>
      <c r="E202" s="1120">
        <f>L_CViec!AC185</f>
        <v>0</v>
      </c>
      <c r="F202" s="1122">
        <f>L_CViec!AD185</f>
        <v>0</v>
      </c>
      <c r="G202" s="1123">
        <f>L_CViec!AE185</f>
        <v>0</v>
      </c>
      <c r="H202" s="1124">
        <f>L_CViec!AF185</f>
        <v>0</v>
      </c>
      <c r="I202" s="1124">
        <f>L_CViec!AG185</f>
        <v>0</v>
      </c>
      <c r="J202" s="1125">
        <f>L_CViec!AH185</f>
        <v>0</v>
      </c>
      <c r="K202" s="1125">
        <f t="shared" si="28"/>
        <v>0</v>
      </c>
      <c r="L202" s="1125">
        <f t="shared" si="28"/>
        <v>0</v>
      </c>
      <c r="M202" s="1125">
        <f t="shared" si="28"/>
        <v>0</v>
      </c>
      <c r="N202" s="1065">
        <f>$D202*G202*L_CBac!$J$68</f>
        <v>0</v>
      </c>
      <c r="O202" s="1065">
        <f>$D202*H202*L_CBac!$J$68</f>
        <v>0</v>
      </c>
      <c r="P202" s="1065">
        <f>$D202*I202*L_CBac!$J$68</f>
        <v>0</v>
      </c>
      <c r="Q202" s="1072">
        <f>$D202*G202*L_CBac!$J$69</f>
        <v>0</v>
      </c>
      <c r="R202" s="876">
        <f>$D202*H202*L_CBac!$J$69</f>
        <v>0</v>
      </c>
      <c r="S202" s="876">
        <f>$D202*I202*L_CBac!$J$69</f>
        <v>0</v>
      </c>
    </row>
    <row r="203" spans="1:19" s="111" customFormat="1">
      <c r="A203" s="1120" t="str">
        <f>L_CViec!A186</f>
        <v>4.1</v>
      </c>
      <c r="B203" s="1121" t="str">
        <f>L_CViec!B186</f>
        <v>Chuyển thông tin theo hình thức liên thông</v>
      </c>
      <c r="C203" s="1120" t="str">
        <f>L_CViec!AB186</f>
        <v>Hồ sơ</v>
      </c>
      <c r="D203" s="1120">
        <f>L_CViec!AA186</f>
        <v>1</v>
      </c>
      <c r="E203" s="1120" t="str">
        <f>L_CViec!AC186</f>
        <v>1KS3</v>
      </c>
      <c r="F203" s="1122" t="str">
        <f>L_CViec!AD186</f>
        <v>1-3</v>
      </c>
      <c r="G203" s="1123">
        <f>L_CViec!AE186</f>
        <v>1.21</v>
      </c>
      <c r="H203" s="1124">
        <f>L_CViec!AF186</f>
        <v>1.21</v>
      </c>
      <c r="I203" s="1124">
        <f>L_CViec!AG186</f>
        <v>1.573</v>
      </c>
      <c r="J203" s="1125">
        <f>L_CViec!AH186</f>
        <v>333450</v>
      </c>
      <c r="K203" s="1125">
        <f t="shared" si="28"/>
        <v>403474.5</v>
      </c>
      <c r="L203" s="1125">
        <f t="shared" si="28"/>
        <v>403474.5</v>
      </c>
      <c r="M203" s="1125">
        <f t="shared" si="28"/>
        <v>524516.85</v>
      </c>
      <c r="N203" s="1065">
        <f>$D203*G203*L_CBac!$J$68</f>
        <v>30933.044999999998</v>
      </c>
      <c r="O203" s="1065">
        <f>$D203*H203*L_CBac!$J$68</f>
        <v>30933.044999999998</v>
      </c>
      <c r="P203" s="1065">
        <f>$D203*I203*L_CBac!$J$68</f>
        <v>40212.958500000001</v>
      </c>
      <c r="Q203" s="1072">
        <f>$D203*G203*L_CBac!$J$69</f>
        <v>33973.076923076922</v>
      </c>
      <c r="R203" s="876">
        <f>$D203*H203*L_CBac!$J$69</f>
        <v>33973.076923076922</v>
      </c>
      <c r="S203" s="876">
        <f>$D203*I203*L_CBac!$J$69</f>
        <v>44165</v>
      </c>
    </row>
    <row r="204" spans="1:19" s="111" customFormat="1">
      <c r="A204" s="1120" t="str">
        <f>L_CViec!A187</f>
        <v>4.2</v>
      </c>
      <c r="B204" s="1121" t="str">
        <f>L_CViec!B187</f>
        <v>Chuyển thông tin theo hình thức trực tiếp</v>
      </c>
      <c r="C204" s="1120" t="str">
        <f>L_CViec!AB187</f>
        <v>Hồ sơ</v>
      </c>
      <c r="D204" s="1120">
        <f>L_CViec!AA187</f>
        <v>1</v>
      </c>
      <c r="E204" s="1120" t="str">
        <f>L_CViec!AC187</f>
        <v>1KS4</v>
      </c>
      <c r="F204" s="1122" t="str">
        <f>L_CViec!AD187</f>
        <v>1-3</v>
      </c>
      <c r="G204" s="1123">
        <f>L_CViec!AE187</f>
        <v>1.46</v>
      </c>
      <c r="H204" s="1124">
        <f>L_CViec!AF187</f>
        <v>1.46</v>
      </c>
      <c r="I204" s="1124">
        <f>L_CViec!AG187</f>
        <v>1.9</v>
      </c>
      <c r="J204" s="1125">
        <f>L_CViec!AH187</f>
        <v>333450</v>
      </c>
      <c r="K204" s="1125">
        <f t="shared" si="28"/>
        <v>486837</v>
      </c>
      <c r="L204" s="1125">
        <f t="shared" si="28"/>
        <v>486837</v>
      </c>
      <c r="M204" s="1125">
        <f t="shared" si="28"/>
        <v>633555</v>
      </c>
      <c r="N204" s="1065">
        <f>$D204*G204*L_CBac!$J$68</f>
        <v>37324.17</v>
      </c>
      <c r="O204" s="1065">
        <f>$D204*H204*L_CBac!$J$68</f>
        <v>37324.17</v>
      </c>
      <c r="P204" s="1065">
        <f>$D204*I204*L_CBac!$J$68</f>
        <v>48572.549999999996</v>
      </c>
      <c r="Q204" s="1072">
        <f>$D204*G204*L_CBac!$J$69</f>
        <v>40992.307692307695</v>
      </c>
      <c r="R204" s="876">
        <f>$D204*H204*L_CBac!$J$69</f>
        <v>40992.307692307695</v>
      </c>
      <c r="S204" s="876">
        <f>$D204*I204*L_CBac!$J$69</f>
        <v>53346.153846153844</v>
      </c>
    </row>
    <row r="205" spans="1:19" s="902" customFormat="1" ht="36" customHeight="1">
      <c r="A205" s="1120" t="str">
        <f>L_CViec!A188</f>
        <v>5</v>
      </c>
      <c r="B205" s="1121" t="str">
        <f>L_CViec!B188</f>
        <v>Nhập ý kiến xác nhận của cấp tỉnh vào tệp (File) dữ liệu hồ sơ số</v>
      </c>
      <c r="C205" s="1120" t="str">
        <f>L_CViec!AB188</f>
        <v>Thửa</v>
      </c>
      <c r="D205" s="1120">
        <f>L_CViec!AA188</f>
        <v>1</v>
      </c>
      <c r="E205" s="1120" t="str">
        <f>L_CViec!AC188</f>
        <v>1KS3</v>
      </c>
      <c r="F205" s="1122" t="str">
        <f>L_CViec!AD188</f>
        <v>1-3</v>
      </c>
      <c r="G205" s="1123">
        <f>L_CViec!AE188</f>
        <v>3.0000000000000001E-3</v>
      </c>
      <c r="H205" s="1124">
        <f>L_CViec!AF188</f>
        <v>3.0000000000000001E-3</v>
      </c>
      <c r="I205" s="1124">
        <f>L_CViec!AG188</f>
        <v>3.0000000000000001E-3</v>
      </c>
      <c r="J205" s="1125">
        <f>L_CViec!AH188</f>
        <v>333450</v>
      </c>
      <c r="K205" s="1125">
        <f t="shared" si="28"/>
        <v>1000.35</v>
      </c>
      <c r="L205" s="1125">
        <f t="shared" si="28"/>
        <v>1000.35</v>
      </c>
      <c r="M205" s="1125">
        <f t="shared" si="28"/>
        <v>1000.35</v>
      </c>
      <c r="N205" s="1065">
        <f>$D205*G205*L_CBac!$J$68</f>
        <v>76.6935</v>
      </c>
      <c r="O205" s="1065">
        <f>$D205*H205*L_CBac!$J$68</f>
        <v>76.6935</v>
      </c>
      <c r="P205" s="1065">
        <f>$D205*I205*L_CBac!$J$68</f>
        <v>76.6935</v>
      </c>
      <c r="Q205" s="1073">
        <f>$D205*G205*L_CBac!$J$69</f>
        <v>84.230769230769241</v>
      </c>
      <c r="R205" s="899">
        <f>$D205*H205*L_CBac!$J$69</f>
        <v>84.230769230769241</v>
      </c>
      <c r="S205" s="899">
        <f>$D205*I205*L_CBac!$J$69</f>
        <v>84.230769230769241</v>
      </c>
    </row>
    <row r="206" spans="1:19" s="902" customFormat="1" ht="42" customHeight="1">
      <c r="A206" s="1120" t="str">
        <f>L_CViec!A189</f>
        <v>6</v>
      </c>
      <c r="B206" s="1121" t="str">
        <f>L_CViec!B189</f>
        <v>Nhận thông báo hoàn thành nghĩa vụ tài chính từ cơ quan thuế</v>
      </c>
      <c r="C206" s="1120" t="str">
        <f>L_CViec!AB189</f>
        <v>Hồ sơ</v>
      </c>
      <c r="D206" s="1120">
        <f>L_CViec!AA189</f>
        <v>1</v>
      </c>
      <c r="E206" s="1120" t="str">
        <f>L_CViec!AC189</f>
        <v>1KS2</v>
      </c>
      <c r="F206" s="1122" t="str">
        <f>L_CViec!AD189</f>
        <v>1-3</v>
      </c>
      <c r="G206" s="1123">
        <f>L_CViec!AE189</f>
        <v>3.3000000000000002E-2</v>
      </c>
      <c r="H206" s="1124">
        <f>L_CViec!AF189</f>
        <v>3.3000000000000002E-2</v>
      </c>
      <c r="I206" s="1124">
        <f>L_CViec!AG189</f>
        <v>3.3000000000000002E-2</v>
      </c>
      <c r="J206" s="1125">
        <f>L_CViec!AH189</f>
        <v>296770.5</v>
      </c>
      <c r="K206" s="1125">
        <f t="shared" si="28"/>
        <v>9793.4264999999996</v>
      </c>
      <c r="L206" s="1125">
        <f t="shared" si="28"/>
        <v>9793.4264999999996</v>
      </c>
      <c r="M206" s="1125">
        <f t="shared" si="28"/>
        <v>9793.4264999999996</v>
      </c>
      <c r="N206" s="1065">
        <f>$D206*G206*L_CBac!$J$68</f>
        <v>843.62850000000003</v>
      </c>
      <c r="O206" s="1065">
        <f>$D206*H206*L_CBac!$J$68</f>
        <v>843.62850000000003</v>
      </c>
      <c r="P206" s="1065">
        <f>$D206*I206*L_CBac!$J$68</f>
        <v>843.62850000000003</v>
      </c>
      <c r="Q206" s="1073">
        <f>$D206*G206*L_CBac!$J$69</f>
        <v>926.53846153846166</v>
      </c>
      <c r="R206" s="899">
        <f>$D206*H206*L_CBac!$J$69</f>
        <v>926.53846153846166</v>
      </c>
      <c r="S206" s="899">
        <f>$D206*I206*L_CBac!$J$69</f>
        <v>926.53846153846166</v>
      </c>
    </row>
    <row r="207" spans="1:19" s="111" customFormat="1">
      <c r="A207" s="1120" t="str">
        <f>L_CViec!A190</f>
        <v>7</v>
      </c>
      <c r="B207" s="1121" t="str">
        <f>L_CViec!B190</f>
        <v>Chuẩn bị hợp đồng cho thuê đất (nếu có)</v>
      </c>
      <c r="C207" s="1120" t="str">
        <f>L_CViec!AB190</f>
        <v>Hồ sơ</v>
      </c>
      <c r="D207" s="1120">
        <f>L_CViec!AA190</f>
        <v>1</v>
      </c>
      <c r="E207" s="1120" t="str">
        <f>L_CViec!AC190</f>
        <v>1KS3</v>
      </c>
      <c r="F207" s="1122" t="str">
        <f>L_CViec!AD190</f>
        <v>1-3</v>
      </c>
      <c r="G207" s="1123">
        <f>L_CViec!AE190</f>
        <v>0.2</v>
      </c>
      <c r="H207" s="1124">
        <f>L_CViec!AF190</f>
        <v>0</v>
      </c>
      <c r="I207" s="1124">
        <f>L_CViec!AG190</f>
        <v>0.2</v>
      </c>
      <c r="J207" s="1125">
        <f>L_CViec!AH190</f>
        <v>333450</v>
      </c>
      <c r="K207" s="1125">
        <f t="shared" si="28"/>
        <v>66690</v>
      </c>
      <c r="L207" s="1125">
        <f t="shared" si="28"/>
        <v>0</v>
      </c>
      <c r="M207" s="1125">
        <f t="shared" si="28"/>
        <v>66690</v>
      </c>
      <c r="N207" s="1065">
        <f>$D207*G207*L_CBac!$J$68</f>
        <v>5112.9000000000005</v>
      </c>
      <c r="O207" s="1065">
        <f>$D207*H207*L_CBac!$J$68</f>
        <v>0</v>
      </c>
      <c r="P207" s="1065">
        <f>$D207*I207*L_CBac!$J$68</f>
        <v>5112.9000000000005</v>
      </c>
      <c r="Q207" s="1072">
        <f>$D207*G207*L_CBac!$J$69</f>
        <v>5615.3846153846162</v>
      </c>
      <c r="R207" s="876">
        <f>$D207*H207*L_CBac!$J$69</f>
        <v>0</v>
      </c>
      <c r="S207" s="876">
        <f>$D207*I207*L_CBac!$J$69</f>
        <v>5615.3846153846162</v>
      </c>
    </row>
    <row r="208" spans="1:19" s="111" customFormat="1" ht="21" customHeight="1">
      <c r="A208" s="1120" t="str">
        <f>L_CViec!A191</f>
        <v>8</v>
      </c>
      <c r="B208" s="1121" t="str">
        <f>L_CViec!B191</f>
        <v>In GCN</v>
      </c>
      <c r="C208" s="1120">
        <f>L_CViec!AB191</f>
        <v>0</v>
      </c>
      <c r="D208" s="1120">
        <f>L_CViec!AA191</f>
        <v>0</v>
      </c>
      <c r="E208" s="1120">
        <f>L_CViec!AC191</f>
        <v>0</v>
      </c>
      <c r="F208" s="1122">
        <f>L_CViec!AD191</f>
        <v>0</v>
      </c>
      <c r="G208" s="1123">
        <f>L_CViec!AE191</f>
        <v>0</v>
      </c>
      <c r="H208" s="1124">
        <f>L_CViec!AF191</f>
        <v>0</v>
      </c>
      <c r="I208" s="1124">
        <f>L_CViec!AG191</f>
        <v>0</v>
      </c>
      <c r="J208" s="1125">
        <f>L_CViec!AH191</f>
        <v>0</v>
      </c>
      <c r="K208" s="1125">
        <f t="shared" si="28"/>
        <v>0</v>
      </c>
      <c r="L208" s="1125">
        <f t="shared" si="28"/>
        <v>0</v>
      </c>
      <c r="M208" s="1125">
        <f t="shared" si="28"/>
        <v>0</v>
      </c>
      <c r="N208" s="1065">
        <f>$D208*G208*L_CBac!$J$68</f>
        <v>0</v>
      </c>
      <c r="O208" s="1065">
        <f>$D208*H208*L_CBac!$J$68</f>
        <v>0</v>
      </c>
      <c r="P208" s="1065">
        <f>$D208*I208*L_CBac!$J$68</f>
        <v>0</v>
      </c>
      <c r="Q208" s="1072">
        <f>$D208*G208*L_CBac!$J$69</f>
        <v>0</v>
      </c>
      <c r="R208" s="876">
        <f>$D208*H208*L_CBac!$J$69</f>
        <v>0</v>
      </c>
      <c r="S208" s="876">
        <f>$D208*I208*L_CBac!$J$69</f>
        <v>0</v>
      </c>
    </row>
    <row r="209" spans="1:19" s="111" customFormat="1" ht="21" customHeight="1">
      <c r="A209" s="1120" t="str">
        <f>L_CViec!A192</f>
        <v>8.1</v>
      </c>
      <c r="B209" s="1121" t="str">
        <f>L_CViec!B192</f>
        <v>Trực tiếp từ cơ sở dữ liệu dạng số</v>
      </c>
      <c r="C209" s="1120" t="str">
        <f>L_CViec!AB192</f>
        <v>GCN</v>
      </c>
      <c r="D209" s="1120">
        <f>L_CViec!AA192</f>
        <v>1</v>
      </c>
      <c r="E209" s="1120" t="str">
        <f>L_CViec!AC192</f>
        <v>1KS2</v>
      </c>
      <c r="F209" s="1122" t="str">
        <f>L_CViec!AD192</f>
        <v>1-3</v>
      </c>
      <c r="G209" s="1123">
        <f>L_CViec!AE192</f>
        <v>0.1</v>
      </c>
      <c r="H209" s="1124">
        <f>L_CViec!AF192</f>
        <v>0.1</v>
      </c>
      <c r="I209" s="1124">
        <f>L_CViec!AG192</f>
        <v>0.1</v>
      </c>
      <c r="J209" s="1125">
        <f>L_CViec!AH192</f>
        <v>296770.5</v>
      </c>
      <c r="K209" s="1125">
        <f t="shared" si="28"/>
        <v>29677.050000000003</v>
      </c>
      <c r="L209" s="1125">
        <f t="shared" si="28"/>
        <v>29677.050000000003</v>
      </c>
      <c r="M209" s="1125">
        <f t="shared" si="28"/>
        <v>29677.050000000003</v>
      </c>
      <c r="N209" s="1065">
        <f>$D209*G209*L_CBac!$J$68</f>
        <v>2556.4500000000003</v>
      </c>
      <c r="O209" s="1065">
        <f>$D209*H209*L_CBac!$J$68</f>
        <v>2556.4500000000003</v>
      </c>
      <c r="P209" s="1065">
        <f>$D209*I209*L_CBac!$J$68</f>
        <v>2556.4500000000003</v>
      </c>
      <c r="Q209" s="1072">
        <f>$D209*G209*L_CBac!$J$69</f>
        <v>2807.6923076923081</v>
      </c>
      <c r="R209" s="876">
        <f>$D209*H209*L_CBac!$J$69</f>
        <v>2807.6923076923081</v>
      </c>
      <c r="S209" s="876">
        <f>$D209*I209*L_CBac!$J$69</f>
        <v>2807.6923076923081</v>
      </c>
    </row>
    <row r="210" spans="1:19" s="85" customFormat="1">
      <c r="A210" s="1120" t="str">
        <f>L_CViec!A193</f>
        <v>8.2</v>
      </c>
      <c r="B210" s="1121" t="str">
        <f>L_CViec!B193</f>
        <v>Đối với những nơi chưa có bản đồ dạng số</v>
      </c>
      <c r="C210" s="1120" t="str">
        <f>L_CViec!AB193</f>
        <v>GCN</v>
      </c>
      <c r="D210" s="1120">
        <f>L_CViec!AA193</f>
        <v>1</v>
      </c>
      <c r="E210" s="1120" t="str">
        <f>L_CViec!AC193</f>
        <v>1KS2</v>
      </c>
      <c r="F210" s="1122" t="str">
        <f>L_CViec!AD193</f>
        <v>1-3</v>
      </c>
      <c r="G210" s="1123">
        <f>L_CViec!AE193</f>
        <v>0.15</v>
      </c>
      <c r="H210" s="1124">
        <f>L_CViec!AF193</f>
        <v>0.2</v>
      </c>
      <c r="I210" s="1124">
        <f>L_CViec!AG193</f>
        <v>0.2</v>
      </c>
      <c r="J210" s="1125">
        <f>L_CViec!AH193</f>
        <v>296770.5</v>
      </c>
      <c r="K210" s="1125">
        <f t="shared" si="28"/>
        <v>44515.574999999997</v>
      </c>
      <c r="L210" s="1125">
        <f t="shared" si="28"/>
        <v>59354.100000000006</v>
      </c>
      <c r="M210" s="1125">
        <f t="shared" si="28"/>
        <v>59354.100000000006</v>
      </c>
      <c r="N210" s="1065">
        <f>$D210*G210*L_CBac!$J$68</f>
        <v>3834.6749999999997</v>
      </c>
      <c r="O210" s="1065">
        <f>$D210*H210*L_CBac!$J$68</f>
        <v>5112.9000000000005</v>
      </c>
      <c r="P210" s="1065">
        <f>$D210*I210*L_CBac!$J$68</f>
        <v>5112.9000000000005</v>
      </c>
      <c r="Q210" s="1072">
        <f>$D210*G210*L_CBac!$J$69</f>
        <v>4211.5384615384619</v>
      </c>
      <c r="R210" s="876">
        <f>$D210*H210*L_CBac!$J$69</f>
        <v>5615.3846153846162</v>
      </c>
      <c r="S210" s="876">
        <f>$D210*I210*L_CBac!$J$69</f>
        <v>5615.3846153846162</v>
      </c>
    </row>
    <row r="211" spans="1:19" s="85" customFormat="1">
      <c r="A211" s="1120" t="str">
        <f>L_CViec!A194</f>
        <v>9</v>
      </c>
      <c r="B211" s="1121" t="str">
        <f>L_CViec!B194</f>
        <v>Lập hồ sơ trình ký Giấy chứng nhận</v>
      </c>
      <c r="C211" s="1120" t="str">
        <f>L_CViec!AB194</f>
        <v>Hồ sơ</v>
      </c>
      <c r="D211" s="1120">
        <f>L_CViec!AA194</f>
        <v>1</v>
      </c>
      <c r="E211" s="1120" t="str">
        <f>L_CViec!AC194</f>
        <v>1KS3</v>
      </c>
      <c r="F211" s="1122" t="str">
        <f>L_CViec!AD194</f>
        <v>1-3</v>
      </c>
      <c r="G211" s="1123">
        <f>L_CViec!AE194</f>
        <v>0.5</v>
      </c>
      <c r="H211" s="1124">
        <f>L_CViec!AF194</f>
        <v>0.5</v>
      </c>
      <c r="I211" s="1124">
        <f>L_CViec!AG194</f>
        <v>0.65</v>
      </c>
      <c r="J211" s="1125">
        <f>L_CViec!AH194</f>
        <v>333450</v>
      </c>
      <c r="K211" s="1125">
        <f t="shared" si="28"/>
        <v>166725</v>
      </c>
      <c r="L211" s="1125">
        <f t="shared" si="28"/>
        <v>166725</v>
      </c>
      <c r="M211" s="1125">
        <f t="shared" si="28"/>
        <v>216742.5</v>
      </c>
      <c r="N211" s="1065">
        <f>$D211*G211*L_CBac!$J$68</f>
        <v>12782.25</v>
      </c>
      <c r="O211" s="1065">
        <f>$D211*H211*L_CBac!$J$68</f>
        <v>12782.25</v>
      </c>
      <c r="P211" s="1065">
        <f>$D211*I211*L_CBac!$J$68</f>
        <v>16616.924999999999</v>
      </c>
      <c r="Q211" s="1072">
        <f>$D211*G211*L_CBac!$J$69</f>
        <v>14038.461538461539</v>
      </c>
      <c r="R211" s="876">
        <f>$D211*H211*L_CBac!$J$69</f>
        <v>14038.461538461539</v>
      </c>
      <c r="S211" s="876">
        <f>$D211*I211*L_CBac!$J$69</f>
        <v>18250</v>
      </c>
    </row>
    <row r="212" spans="1:19" s="85" customFormat="1" ht="25.5">
      <c r="A212" s="1120" t="str">
        <f>L_CViec!A195</f>
        <v>10</v>
      </c>
      <c r="B212" s="1121" t="str">
        <f>L_CViec!B195</f>
        <v>Nhận lại hồ sơ, GCN, hợp đồng thuê đất; lập và sao sổ cấp Giấy chứng nhận</v>
      </c>
      <c r="C212" s="1120" t="str">
        <f>L_CViec!AB195</f>
        <v>Hồ sơ</v>
      </c>
      <c r="D212" s="1120">
        <f>L_CViec!AA195</f>
        <v>1</v>
      </c>
      <c r="E212" s="1120" t="str">
        <f>L_CViec!AC195</f>
        <v>1KS2</v>
      </c>
      <c r="F212" s="1122" t="str">
        <f>L_CViec!AD195</f>
        <v>1-3</v>
      </c>
      <c r="G212" s="1123">
        <f>L_CViec!AE195</f>
        <v>0.47</v>
      </c>
      <c r="H212" s="1124">
        <f>L_CViec!AF195</f>
        <v>0.47</v>
      </c>
      <c r="I212" s="1124">
        <f>L_CViec!AG195</f>
        <v>0.61099999999999999</v>
      </c>
      <c r="J212" s="1125">
        <f>L_CViec!AH195</f>
        <v>296770.5</v>
      </c>
      <c r="K212" s="1125">
        <f t="shared" si="28"/>
        <v>139482.13499999998</v>
      </c>
      <c r="L212" s="1125">
        <f t="shared" si="28"/>
        <v>139482.13499999998</v>
      </c>
      <c r="M212" s="1125">
        <f t="shared" si="28"/>
        <v>181326.77549999999</v>
      </c>
      <c r="N212" s="1065">
        <f>$D212*G212*L_CBac!$J$68</f>
        <v>12015.314999999999</v>
      </c>
      <c r="O212" s="1065">
        <f>$D212*H212*L_CBac!$J$68</f>
        <v>12015.314999999999</v>
      </c>
      <c r="P212" s="1065">
        <f>$D212*I212*L_CBac!$J$68</f>
        <v>15619.9095</v>
      </c>
      <c r="Q212" s="1072">
        <f>$D212*G212*L_CBac!$J$69</f>
        <v>13196.153846153846</v>
      </c>
      <c r="R212" s="876">
        <f>$D212*H212*L_CBac!$J$69</f>
        <v>13196.153846153846</v>
      </c>
      <c r="S212" s="876">
        <f>$D212*I212*L_CBac!$J$69</f>
        <v>17155</v>
      </c>
    </row>
    <row r="213" spans="1:19" s="85" customFormat="1">
      <c r="A213" s="1120" t="str">
        <f>L_CViec!A196</f>
        <v>11</v>
      </c>
      <c r="B213" s="1121" t="str">
        <f>L_CViec!B196</f>
        <v>Nhập bổ sung thông tin dữ liệu về GCN</v>
      </c>
      <c r="C213" s="1120" t="str">
        <f>L_CViec!AB196</f>
        <v>Thửa</v>
      </c>
      <c r="D213" s="1120">
        <f>L_CViec!AA196</f>
        <v>1</v>
      </c>
      <c r="E213" s="1120" t="str">
        <f>L_CViec!AC196</f>
        <v>1KS3</v>
      </c>
      <c r="F213" s="1122" t="str">
        <f>L_CViec!AD196</f>
        <v>1-3</v>
      </c>
      <c r="G213" s="1123">
        <f>L_CViec!AE196</f>
        <v>3.3000000000000002E-2</v>
      </c>
      <c r="H213" s="1124">
        <f>L_CViec!AF196</f>
        <v>3.3000000000000002E-2</v>
      </c>
      <c r="I213" s="1124">
        <f>L_CViec!AG196</f>
        <v>3.3000000000000002E-2</v>
      </c>
      <c r="J213" s="1125">
        <f>L_CViec!AH196</f>
        <v>333450</v>
      </c>
      <c r="K213" s="1125">
        <f t="shared" si="28"/>
        <v>11003.85</v>
      </c>
      <c r="L213" s="1125">
        <f t="shared" si="28"/>
        <v>11003.85</v>
      </c>
      <c r="M213" s="1125">
        <f t="shared" si="28"/>
        <v>11003.85</v>
      </c>
      <c r="N213" s="1065">
        <f>$D213*G213*L_CBac!$J$68</f>
        <v>843.62850000000003</v>
      </c>
      <c r="O213" s="1065">
        <f>$D213*H213*L_CBac!$J$68</f>
        <v>843.62850000000003</v>
      </c>
      <c r="P213" s="1065">
        <f>$D213*I213*L_CBac!$J$68</f>
        <v>843.62850000000003</v>
      </c>
      <c r="Q213" s="1072">
        <f>$D213*G213*L_CBac!$J$69</f>
        <v>926.53846153846166</v>
      </c>
      <c r="R213" s="876">
        <f>$D213*H213*L_CBac!$J$69</f>
        <v>926.53846153846166</v>
      </c>
      <c r="S213" s="876">
        <f>$D213*I213*L_CBac!$J$69</f>
        <v>926.53846153846166</v>
      </c>
    </row>
    <row r="214" spans="1:19" s="111" customFormat="1">
      <c r="A214" s="1120" t="str">
        <f>L_CViec!A197</f>
        <v>12</v>
      </c>
      <c r="B214" s="1121" t="str">
        <f>L_CViec!B197</f>
        <v>Quét giấy tờ bổ sung</v>
      </c>
      <c r="C214" s="1120">
        <f>L_CViec!AB197</f>
        <v>0</v>
      </c>
      <c r="D214" s="1120">
        <f>L_CViec!AA197</f>
        <v>0</v>
      </c>
      <c r="E214" s="1120">
        <f>L_CViec!AC197</f>
        <v>0</v>
      </c>
      <c r="F214" s="1122">
        <f>L_CViec!AD197</f>
        <v>0</v>
      </c>
      <c r="G214" s="1123">
        <f>L_CViec!AE197</f>
        <v>0</v>
      </c>
      <c r="H214" s="1124">
        <f>L_CViec!AF197</f>
        <v>0</v>
      </c>
      <c r="I214" s="1124">
        <f>L_CViec!AG197</f>
        <v>0</v>
      </c>
      <c r="J214" s="1125">
        <f>L_CViec!AH197</f>
        <v>0</v>
      </c>
      <c r="K214" s="1125">
        <f t="shared" si="28"/>
        <v>0</v>
      </c>
      <c r="L214" s="1125">
        <f t="shared" si="28"/>
        <v>0</v>
      </c>
      <c r="M214" s="1125">
        <f t="shared" si="28"/>
        <v>0</v>
      </c>
      <c r="N214" s="1065">
        <f>$D214*G214*L_CBac!$J$68</f>
        <v>0</v>
      </c>
      <c r="O214" s="1065">
        <f>$D214*H214*L_CBac!$J$68</f>
        <v>0</v>
      </c>
      <c r="P214" s="1065">
        <f>$D214*I214*L_CBac!$J$68</f>
        <v>0</v>
      </c>
      <c r="Q214" s="1072">
        <f>$D214*G214*L_CBac!$J$69</f>
        <v>0</v>
      </c>
      <c r="R214" s="876">
        <f>$D214*H214*L_CBac!$J$69</f>
        <v>0</v>
      </c>
      <c r="S214" s="876">
        <f>$D214*I214*L_CBac!$J$69</f>
        <v>0</v>
      </c>
    </row>
    <row r="215" spans="1:19" s="111" customFormat="1" ht="23.25" customHeight="1">
      <c r="A215" s="1120" t="str">
        <f>L_CViec!A198</f>
        <v>12.1</v>
      </c>
      <c r="B215" s="1121" t="str">
        <f>L_CViec!B198</f>
        <v>Quét trang A3</v>
      </c>
      <c r="C215" s="1120" t="str">
        <f>L_CViec!AB198</f>
        <v>Trang</v>
      </c>
      <c r="D215" s="1120">
        <f>L_CViec!AA198</f>
        <v>1</v>
      </c>
      <c r="E215" s="1120" t="str">
        <f>L_CViec!AC198</f>
        <v>1KS1</v>
      </c>
      <c r="F215" s="1122" t="str">
        <f>L_CViec!AD198</f>
        <v>1-3</v>
      </c>
      <c r="G215" s="1123">
        <f>L_CViec!AE198</f>
        <v>1.6E-2</v>
      </c>
      <c r="H215" s="1124">
        <f>L_CViec!AF198</f>
        <v>1.6E-2</v>
      </c>
      <c r="I215" s="1124">
        <f>L_CViec!AG198</f>
        <v>0.02</v>
      </c>
      <c r="J215" s="1125">
        <f>L_CViec!AH198</f>
        <v>260091</v>
      </c>
      <c r="K215" s="1125">
        <f t="shared" ref="K215:M220" si="29">G215*$J215</f>
        <v>4161.4560000000001</v>
      </c>
      <c r="L215" s="1125">
        <f t="shared" si="29"/>
        <v>4161.4560000000001</v>
      </c>
      <c r="M215" s="1125">
        <f t="shared" si="29"/>
        <v>5201.82</v>
      </c>
      <c r="N215" s="1065">
        <f>$D215*G215*L_CBac!$J$68</f>
        <v>409.03199999999998</v>
      </c>
      <c r="O215" s="1065">
        <f>$D215*H215*L_CBac!$J$68</f>
        <v>409.03199999999998</v>
      </c>
      <c r="P215" s="1065">
        <f>$D215*I215*L_CBac!$J$68</f>
        <v>511.29</v>
      </c>
      <c r="Q215" s="1072">
        <f>$D215*G215*L_CBac!$J$69</f>
        <v>449.23076923076928</v>
      </c>
      <c r="R215" s="876">
        <f>$D215*H215*L_CBac!$J$69</f>
        <v>449.23076923076928</v>
      </c>
      <c r="S215" s="876">
        <f>$D215*I215*L_CBac!$J$69</f>
        <v>561.53846153846155</v>
      </c>
    </row>
    <row r="216" spans="1:19" s="85" customFormat="1">
      <c r="A216" s="1120" t="str">
        <f>L_CViec!A199</f>
        <v>12.2</v>
      </c>
      <c r="B216" s="1121" t="str">
        <f>L_CViec!B199</f>
        <v>Quét trang A4</v>
      </c>
      <c r="C216" s="1120" t="str">
        <f>L_CViec!AB199</f>
        <v>Trang</v>
      </c>
      <c r="D216" s="1120">
        <f>L_CViec!AA199</f>
        <v>1</v>
      </c>
      <c r="E216" s="1120" t="str">
        <f>L_CViec!AC199</f>
        <v>1KS1</v>
      </c>
      <c r="F216" s="1122" t="str">
        <f>L_CViec!AD199</f>
        <v>1-3</v>
      </c>
      <c r="G216" s="1123">
        <f>L_CViec!AE199</f>
        <v>8.0000000000000002E-3</v>
      </c>
      <c r="H216" s="1124">
        <f>L_CViec!AF199</f>
        <v>8.0000000000000002E-3</v>
      </c>
      <c r="I216" s="1124">
        <f>L_CViec!AG199</f>
        <v>0.01</v>
      </c>
      <c r="J216" s="1125">
        <f>L_CViec!AH199</f>
        <v>260091</v>
      </c>
      <c r="K216" s="1125">
        <f t="shared" si="29"/>
        <v>2080.7280000000001</v>
      </c>
      <c r="L216" s="1125">
        <f t="shared" si="29"/>
        <v>2080.7280000000001</v>
      </c>
      <c r="M216" s="1125">
        <f t="shared" si="29"/>
        <v>2600.91</v>
      </c>
      <c r="N216" s="1065">
        <f>$D216*G216*L_CBac!$J$68</f>
        <v>204.51599999999999</v>
      </c>
      <c r="O216" s="1065">
        <f>$D216*H216*L_CBac!$J$68</f>
        <v>204.51599999999999</v>
      </c>
      <c r="P216" s="1065">
        <f>$D216*I216*L_CBac!$J$68</f>
        <v>255.64500000000001</v>
      </c>
      <c r="Q216" s="1072">
        <f>$D216*G216*L_CBac!$J$69</f>
        <v>224.61538461538464</v>
      </c>
      <c r="R216" s="876">
        <f>$D216*H216*L_CBac!$J$69</f>
        <v>224.61538461538464</v>
      </c>
      <c r="S216" s="876">
        <f>$D216*I216*L_CBac!$J$69</f>
        <v>280.76923076923077</v>
      </c>
    </row>
    <row r="217" spans="1:19" s="85" customFormat="1" ht="25.5">
      <c r="A217" s="1120" t="str">
        <f>L_CViec!A200</f>
        <v>13</v>
      </c>
      <c r="B217" s="1121" t="str">
        <f>L_CViec!B200</f>
        <v>Xử lý các tệp tin quét thành tệp (File) hồ sơ quét dạng số của thửa đất, lưu trữ dưới khuôn dạng tệp tin PDF</v>
      </c>
      <c r="C217" s="1120" t="str">
        <f>L_CViec!AB200</f>
        <v>Trang</v>
      </c>
      <c r="D217" s="1120">
        <f>L_CViec!AA200</f>
        <v>1</v>
      </c>
      <c r="E217" s="1120" t="str">
        <f>L_CViec!AC200</f>
        <v>1KS1</v>
      </c>
      <c r="F217" s="1122" t="str">
        <f>L_CViec!AD200</f>
        <v>1-3</v>
      </c>
      <c r="G217" s="1123">
        <f>L_CViec!AE200</f>
        <v>4.0000000000000001E-3</v>
      </c>
      <c r="H217" s="1124">
        <f>L_CViec!AF200</f>
        <v>4.0000000000000001E-3</v>
      </c>
      <c r="I217" s="1124">
        <f>L_CViec!AG200</f>
        <v>5.0000000000000001E-3</v>
      </c>
      <c r="J217" s="1125">
        <f>L_CViec!AH200</f>
        <v>260091</v>
      </c>
      <c r="K217" s="1125">
        <f t="shared" si="29"/>
        <v>1040.364</v>
      </c>
      <c r="L217" s="1125">
        <f t="shared" si="29"/>
        <v>1040.364</v>
      </c>
      <c r="M217" s="1125">
        <f t="shared" si="29"/>
        <v>1300.4549999999999</v>
      </c>
      <c r="N217" s="1065">
        <f>$D217*G217*L_CBac!$J$68</f>
        <v>102.258</v>
      </c>
      <c r="O217" s="1065">
        <f>$D217*H217*L_CBac!$J$68</f>
        <v>102.258</v>
      </c>
      <c r="P217" s="1065">
        <f>$D217*I217*L_CBac!$J$68</f>
        <v>127.82250000000001</v>
      </c>
      <c r="Q217" s="1072">
        <f>$D217*G217*L_CBac!$J$69</f>
        <v>112.30769230769232</v>
      </c>
      <c r="R217" s="876">
        <f>$D217*H217*L_CBac!$J$69</f>
        <v>112.30769230769232</v>
      </c>
      <c r="S217" s="876">
        <f>$D217*I217*L_CBac!$J$69</f>
        <v>140.38461538461539</v>
      </c>
    </row>
    <row r="218" spans="1:19" s="85" customFormat="1" ht="25.5">
      <c r="A218" s="1120" t="str">
        <f>L_CViec!A201</f>
        <v>14</v>
      </c>
      <c r="B218" s="1121" t="str">
        <f>L_CViec!B201</f>
        <v>Tạo liên kết hồ sơ quét dạng số với thửa đất trong cơ sở dữ liệu</v>
      </c>
      <c r="C218" s="1120" t="str">
        <f>L_CViec!AB201</f>
        <v>Thửa</v>
      </c>
      <c r="D218" s="1120">
        <f>L_CViec!AA201</f>
        <v>1</v>
      </c>
      <c r="E218" s="1120" t="str">
        <f>L_CViec!AC201</f>
        <v>1KS1</v>
      </c>
      <c r="F218" s="1122" t="str">
        <f>L_CViec!AD201</f>
        <v>1-3</v>
      </c>
      <c r="G218" s="1123">
        <f>L_CViec!AE201</f>
        <v>0.01</v>
      </c>
      <c r="H218" s="1124">
        <f>L_CViec!AF201</f>
        <v>0.01</v>
      </c>
      <c r="I218" s="1124">
        <f>L_CViec!AG201</f>
        <v>1.2999999999999999E-2</v>
      </c>
      <c r="J218" s="1125">
        <f>L_CViec!AH201</f>
        <v>260091</v>
      </c>
      <c r="K218" s="1125">
        <f t="shared" si="29"/>
        <v>2600.91</v>
      </c>
      <c r="L218" s="1125">
        <f t="shared" si="29"/>
        <v>2600.91</v>
      </c>
      <c r="M218" s="1125">
        <f t="shared" si="29"/>
        <v>3381.183</v>
      </c>
      <c r="N218" s="1065">
        <f>$D218*G218*L_CBac!$J$68</f>
        <v>255.64500000000001</v>
      </c>
      <c r="O218" s="1065">
        <f>$D218*H218*L_CBac!$J$68</f>
        <v>255.64500000000001</v>
      </c>
      <c r="P218" s="1065">
        <f>$D218*I218*L_CBac!$J$68</f>
        <v>332.33850000000001</v>
      </c>
      <c r="Q218" s="1072">
        <f>$D218*G218*L_CBac!$J$69</f>
        <v>280.76923076923077</v>
      </c>
      <c r="R218" s="876">
        <f>$D218*H218*L_CBac!$J$69</f>
        <v>280.76923076923077</v>
      </c>
      <c r="S218" s="876">
        <f>$D218*I218*L_CBac!$J$69</f>
        <v>365</v>
      </c>
    </row>
    <row r="219" spans="1:19" s="85" customFormat="1" ht="38.25">
      <c r="A219" s="1120" t="str">
        <f>L_CViec!A202</f>
        <v>15</v>
      </c>
      <c r="B219" s="1121" t="str">
        <f>L_CViec!B202</f>
        <v>Cập nhật bổ sung việc cấp GCN vào hồ sơ địa chính, cơ sở dữ liệu đất đai và gửi nội dung cập nhật hồ sơ địa chính về xã, phường</v>
      </c>
      <c r="C219" s="1120" t="str">
        <f>L_CViec!AB202</f>
        <v>Hồ sơ</v>
      </c>
      <c r="D219" s="1120">
        <f>L_CViec!AA202</f>
        <v>1</v>
      </c>
      <c r="E219" s="1120" t="str">
        <f>L_CViec!AC202</f>
        <v>1KS2</v>
      </c>
      <c r="F219" s="1122" t="str">
        <f>L_CViec!AD202</f>
        <v>1-3</v>
      </c>
      <c r="G219" s="1123">
        <f>L_CViec!AE202</f>
        <v>0.2</v>
      </c>
      <c r="H219" s="1124">
        <f>L_CViec!AF202</f>
        <v>0.2</v>
      </c>
      <c r="I219" s="1124">
        <f>L_CViec!AG202</f>
        <v>0.26</v>
      </c>
      <c r="J219" s="1125">
        <f>L_CViec!AH202</f>
        <v>296770.5</v>
      </c>
      <c r="K219" s="1125">
        <f t="shared" si="29"/>
        <v>59354.100000000006</v>
      </c>
      <c r="L219" s="1125">
        <f t="shared" si="29"/>
        <v>59354.100000000006</v>
      </c>
      <c r="M219" s="1125">
        <f t="shared" si="29"/>
        <v>77160.33</v>
      </c>
      <c r="N219" s="1065">
        <f>$D219*G219*L_CBac!$J$68</f>
        <v>5112.9000000000005</v>
      </c>
      <c r="O219" s="1065">
        <f>$D219*H219*L_CBac!$J$68</f>
        <v>5112.9000000000005</v>
      </c>
      <c r="P219" s="1065">
        <f>$D219*I219*L_CBac!$J$68</f>
        <v>6646.77</v>
      </c>
      <c r="Q219" s="1072" t="e">
        <f>Q220+#REF!+#REF!</f>
        <v>#REF!</v>
      </c>
      <c r="R219" s="876" t="e">
        <f>R220+#REF!+#REF!</f>
        <v>#REF!</v>
      </c>
      <c r="S219" s="876" t="e">
        <f>S220+#REF!+#REF!</f>
        <v>#REF!</v>
      </c>
    </row>
    <row r="220" spans="1:19" s="111" customFormat="1" ht="38.25">
      <c r="A220" s="1120" t="str">
        <f>L_CViec!A203</f>
        <v>16</v>
      </c>
      <c r="B220" s="1121" t="str">
        <f>L_CViec!B203</f>
        <v>Chuyển Giấy chứng nhận đến Bộ phận một cửa để trao cho người sử dụng đất hoặc chuyển Giấy chứng nhận cho người sử dụng đất thông qua dịch vụ bưu chính công ích</v>
      </c>
      <c r="C220" s="1120" t="str">
        <f>L_CViec!AB203</f>
        <v>Hồ sơ</v>
      </c>
      <c r="D220" s="1120">
        <f>L_CViec!AA203</f>
        <v>1</v>
      </c>
      <c r="E220" s="1120" t="str">
        <f>L_CViec!AC203</f>
        <v>1KS2</v>
      </c>
      <c r="F220" s="1122" t="str">
        <f>L_CViec!AD203</f>
        <v>1-3</v>
      </c>
      <c r="G220" s="1123">
        <f>L_CViec!AE203</f>
        <v>0.2</v>
      </c>
      <c r="H220" s="1124">
        <f>L_CViec!AF203</f>
        <v>0.2</v>
      </c>
      <c r="I220" s="1124">
        <f>L_CViec!AG203</f>
        <v>0.26</v>
      </c>
      <c r="J220" s="1125">
        <f>L_CViec!AH203</f>
        <v>296770.5</v>
      </c>
      <c r="K220" s="1125">
        <f t="shared" si="29"/>
        <v>59354.100000000006</v>
      </c>
      <c r="L220" s="1125">
        <f t="shared" si="29"/>
        <v>59354.100000000006</v>
      </c>
      <c r="M220" s="1125">
        <f t="shared" si="29"/>
        <v>77160.33</v>
      </c>
      <c r="N220" s="1065">
        <f>$D220*G220*L_CBac!$J$68</f>
        <v>5112.9000000000005</v>
      </c>
      <c r="O220" s="1065">
        <f>$D220*H220*L_CBac!$J$68</f>
        <v>5112.9000000000005</v>
      </c>
      <c r="P220" s="1065">
        <f>$D220*I220*L_CBac!$J$68</f>
        <v>6646.77</v>
      </c>
      <c r="Q220" s="1072">
        <f>SUM(Q221:Q221)</f>
        <v>0</v>
      </c>
      <c r="R220" s="876">
        <f>SUM(R221:R221)</f>
        <v>0</v>
      </c>
      <c r="S220" s="876">
        <f>SUM(S221:S221)</f>
        <v>0</v>
      </c>
    </row>
    <row r="221" spans="1:19" s="111" customFormat="1">
      <c r="A221" s="1126" t="str">
        <f>L_CViec!A204</f>
        <v>III.3</v>
      </c>
      <c r="B221" s="1127" t="str">
        <f>L_CViec!B204</f>
        <v>GHI CHÚ</v>
      </c>
      <c r="C221" s="1128"/>
      <c r="D221" s="1128"/>
      <c r="E221" s="1128"/>
      <c r="F221" s="1128"/>
      <c r="G221" s="1128"/>
      <c r="H221" s="1129"/>
      <c r="I221" s="1129"/>
      <c r="J221" s="1130"/>
      <c r="K221" s="1130"/>
      <c r="L221" s="1130"/>
      <c r="M221" s="1130"/>
      <c r="N221" s="1065"/>
      <c r="O221" s="1065"/>
      <c r="P221" s="1065"/>
      <c r="Q221" s="1072">
        <f>$D221*G221*L_CBac!$J$69</f>
        <v>0</v>
      </c>
      <c r="R221" s="876">
        <f>$D221*H221*L_CBac!$J$69</f>
        <v>0</v>
      </c>
      <c r="S221" s="876">
        <f>$D221*I221*L_CBac!$J$69</f>
        <v>0</v>
      </c>
    </row>
    <row r="222" spans="1:19" s="85" customFormat="1" ht="27.6" customHeight="1">
      <c r="A222" s="1110" t="str">
        <f>L_CViec!A205</f>
        <v>1</v>
      </c>
      <c r="B222" s="1420" t="str">
        <f>L_CViec!B205</f>
        <v>(1) Cột “ĐM Đất” áp dụng cho trường hợp đăng ký, cấp GCN đối với đất; cột “ĐM Đất + TS” áp dụng đối với trường hợp đăng ký, cấp GCN đối với cả đất và tài sản gắn liền với đất</v>
      </c>
      <c r="C222" s="1420"/>
      <c r="D222" s="1420"/>
      <c r="E222" s="1420"/>
      <c r="F222" s="1420"/>
      <c r="G222" s="1420"/>
      <c r="H222" s="1420"/>
      <c r="I222" s="1420"/>
      <c r="J222" s="1420"/>
      <c r="K222" s="1420"/>
      <c r="L222" s="1420"/>
      <c r="M222" s="1420"/>
      <c r="N222" s="1065"/>
      <c r="O222" s="1065"/>
      <c r="P222" s="1065"/>
      <c r="Q222" s="1002"/>
      <c r="R222" s="294"/>
      <c r="S222" s="294"/>
    </row>
    <row r="223" spans="1:19" s="85" customFormat="1" ht="28.5" customHeight="1">
      <c r="A223" s="1110" t="str">
        <f>L_CViec!A206</f>
        <v>2</v>
      </c>
      <c r="B223" s="1420" t="str">
        <f>L_CViec!B206</f>
        <v>(2) Trường hợp đăng ký đất đai nhưng không có nhu cầu hoặc không đủ điều kiện cấp GCN thì được tính định mức đối với Mục 1, 2, 3, 4, 5, 6, 7, 8 và 9 nội dung thực hiện tại địa bàn cấp xã,phường,đặc khu; Mục 15 và 16 các nội dung thực hiện tại địa bàn tỉnh.</v>
      </c>
      <c r="C223" s="1420"/>
      <c r="D223" s="1420"/>
      <c r="E223" s="1420"/>
      <c r="F223" s="1420"/>
      <c r="G223" s="1420"/>
      <c r="H223" s="1420"/>
      <c r="I223" s="1420"/>
      <c r="J223" s="1420"/>
      <c r="K223" s="1420"/>
      <c r="L223" s="1420"/>
      <c r="M223" s="1420"/>
      <c r="N223" s="1065"/>
      <c r="O223" s="1065"/>
      <c r="P223" s="1065"/>
      <c r="Q223" s="1002"/>
      <c r="R223" s="294"/>
      <c r="S223" s="294"/>
    </row>
    <row r="224" spans="1:19" s="85" customFormat="1" ht="27.6" customHeight="1">
      <c r="A224" s="1110" t="str">
        <f>L_CViec!A207</f>
        <v>3</v>
      </c>
      <c r="B224" s="1420" t="str">
        <f>L_CViec!B207</f>
        <v>(3) Trường hợp đăng ký đối với đất được giao để quản lý thì được tính định mức đối với Mục 1, 2, 3, 4 và 5 nội dung thực hiện tại địa bàn cấp xã; Mục 15 và 16 các nội dung thực hiện tại địa bàn tỉnh.</v>
      </c>
      <c r="C224" s="1420"/>
      <c r="D224" s="1420"/>
      <c r="E224" s="1420"/>
      <c r="F224" s="1420"/>
      <c r="G224" s="1420"/>
      <c r="H224" s="1420"/>
      <c r="I224" s="1420"/>
      <c r="J224" s="1420"/>
      <c r="K224" s="1420"/>
      <c r="L224" s="1420"/>
      <c r="M224" s="1420"/>
      <c r="N224" s="1065"/>
      <c r="O224" s="1065"/>
      <c r="P224" s="1065"/>
      <c r="Q224" s="1002"/>
      <c r="R224" s="294"/>
      <c r="S224" s="294"/>
    </row>
    <row r="225" spans="1:12" s="85" customFormat="1">
      <c r="A225" s="84"/>
      <c r="B225" s="175"/>
      <c r="C225" s="175"/>
      <c r="D225" s="175"/>
      <c r="E225" s="175"/>
      <c r="F225" s="175"/>
      <c r="G225" s="84"/>
      <c r="H225" s="176"/>
      <c r="I225" s="176"/>
      <c r="J225" s="176"/>
      <c r="K225" s="176"/>
      <c r="L225" s="84"/>
    </row>
    <row r="226" spans="1:12" s="37" customFormat="1">
      <c r="A226" s="37" t="s">
        <v>341</v>
      </c>
      <c r="B226" s="869"/>
      <c r="C226" s="870"/>
      <c r="D226" s="870"/>
      <c r="E226" s="870"/>
      <c r="F226" s="870"/>
      <c r="G226" s="871"/>
      <c r="H226" s="872"/>
      <c r="I226" s="872"/>
      <c r="J226" s="872"/>
      <c r="K226" s="872"/>
    </row>
    <row r="227" spans="1:12" s="31" customFormat="1">
      <c r="A227" s="1426" t="s">
        <v>24</v>
      </c>
      <c r="B227" s="1101" t="s">
        <v>46</v>
      </c>
      <c r="C227" s="1427" t="s">
        <v>39</v>
      </c>
      <c r="D227" s="1102"/>
      <c r="E227" s="1427" t="s">
        <v>17</v>
      </c>
      <c r="F227" s="1102" t="s">
        <v>98</v>
      </c>
      <c r="G227" s="1094" t="s">
        <v>41</v>
      </c>
      <c r="H227" s="1428" t="s">
        <v>351</v>
      </c>
      <c r="I227" s="1428" t="s">
        <v>493</v>
      </c>
      <c r="J227" s="1061" t="s">
        <v>494</v>
      </c>
      <c r="K227" s="1061" t="s">
        <v>352</v>
      </c>
    </row>
    <row r="228" spans="1:12" s="31" customFormat="1">
      <c r="A228" s="1426"/>
      <c r="B228" s="1101"/>
      <c r="C228" s="1427"/>
      <c r="D228" s="1102"/>
      <c r="E228" s="1427"/>
      <c r="F228" s="1102" t="s">
        <v>25</v>
      </c>
      <c r="G228" s="1105" t="s">
        <v>40</v>
      </c>
      <c r="H228" s="1429"/>
      <c r="I228" s="1429"/>
      <c r="J228" s="1062" t="s">
        <v>495</v>
      </c>
      <c r="K228" s="1062" t="s">
        <v>495</v>
      </c>
    </row>
    <row r="229" spans="1:12" s="86" customFormat="1" ht="13.15" customHeight="1">
      <c r="A229" s="520" t="str">
        <f>L_CViec!A209</f>
        <v>IV</v>
      </c>
      <c r="B229" s="1425" t="str">
        <f>L_CViec!B209</f>
        <v>Định mức lao động đăng ký, cấp đổi Giấy chứng nhận đồng loạt tại xã, phường</v>
      </c>
      <c r="C229" s="1425"/>
      <c r="D229" s="1425"/>
      <c r="E229" s="1425"/>
      <c r="F229" s="1425"/>
      <c r="G229" s="1425"/>
      <c r="H229" s="1425"/>
      <c r="I229" s="1425"/>
      <c r="J229" s="1064"/>
      <c r="K229" s="1064"/>
    </row>
    <row r="230" spans="1:12" s="86" customFormat="1">
      <c r="A230" s="1421" t="str">
        <f>L_CViec!A210</f>
        <v>IV.1</v>
      </c>
      <c r="B230" s="1422" t="str">
        <f>L_CViec!B210</f>
        <v>CÁC NỘI DUNG THỰC HIỆN TẠI ĐỊA BÀN XÃ, PHƯỜNG</v>
      </c>
      <c r="C230" s="1131"/>
      <c r="D230" s="1131"/>
      <c r="E230" s="1132" t="s">
        <v>353</v>
      </c>
      <c r="F230" s="1421">
        <v>1</v>
      </c>
      <c r="G230" s="1131">
        <f>L_CViec!AE210</f>
        <v>0</v>
      </c>
      <c r="H230" s="1133">
        <f>L_CViec!AF210</f>
        <v>0</v>
      </c>
      <c r="I230" s="1133">
        <f>SUM(I236,I244,I245,I246,I253,I254,I255,I256,I258,I261,I265,I266,I267,I269,I271,I273,I274,I275,I281,I282)</f>
        <v>598419.22382307693</v>
      </c>
      <c r="J230" s="1064">
        <f>SUM(J236,J243,J245,J252,J254,J255,J256,J258,J261,J264,J266,J267,J269,J271,J273,J275,J281,J282)</f>
        <v>865607.57887500001</v>
      </c>
      <c r="K230" s="1064">
        <f>SUM(K236,K243,K245,K252,K254,K255,K256,K258,K261,K264,K266,K267,K269,K271,K273,K275,K281,K282)</f>
        <v>950677.59615384624</v>
      </c>
    </row>
    <row r="231" spans="1:12" s="86" customFormat="1" ht="15" customHeight="1">
      <c r="A231" s="1421"/>
      <c r="B231" s="1422"/>
      <c r="C231" s="1131"/>
      <c r="D231" s="1131"/>
      <c r="E231" s="1132" t="s">
        <v>202</v>
      </c>
      <c r="F231" s="1421"/>
      <c r="G231" s="1131"/>
      <c r="H231" s="1133"/>
      <c r="I231" s="1133">
        <f>I238+I241</f>
        <v>409.32692307692309</v>
      </c>
      <c r="J231" s="1064">
        <f>SUM(J$237)</f>
        <v>1533.87</v>
      </c>
      <c r="K231" s="1064">
        <f>SUM(K$237)</f>
        <v>1684.6153846153848</v>
      </c>
    </row>
    <row r="232" spans="1:12" s="86" customFormat="1" ht="15" customHeight="1">
      <c r="A232" s="1421"/>
      <c r="B232" s="1422"/>
      <c r="C232" s="1131"/>
      <c r="D232" s="1131"/>
      <c r="E232" s="1132" t="s">
        <v>353</v>
      </c>
      <c r="F232" s="1421">
        <v>2</v>
      </c>
      <c r="G232" s="1131"/>
      <c r="H232" s="1133"/>
      <c r="I232" s="1133">
        <f>I230</f>
        <v>598419.22382307693</v>
      </c>
      <c r="J232" s="1064">
        <f>J230</f>
        <v>865607.57887500001</v>
      </c>
      <c r="K232" s="1064">
        <f>K230</f>
        <v>950677.59615384624</v>
      </c>
    </row>
    <row r="233" spans="1:12" s="86" customFormat="1" ht="15" customHeight="1">
      <c r="A233" s="1421"/>
      <c r="B233" s="1422"/>
      <c r="C233" s="1131"/>
      <c r="D233" s="1131"/>
      <c r="E233" s="1132" t="s">
        <v>202</v>
      </c>
      <c r="F233" s="1421"/>
      <c r="G233" s="1131"/>
      <c r="H233" s="1133"/>
      <c r="I233" s="1133">
        <f>I231</f>
        <v>409.32692307692309</v>
      </c>
      <c r="J233" s="1064">
        <f>J237</f>
        <v>1533.87</v>
      </c>
      <c r="K233" s="1064">
        <f>K237</f>
        <v>1684.6153846153848</v>
      </c>
    </row>
    <row r="234" spans="1:12" s="86" customFormat="1" ht="15" customHeight="1">
      <c r="A234" s="1421"/>
      <c r="B234" s="1422"/>
      <c r="C234" s="1131"/>
      <c r="D234" s="1131"/>
      <c r="E234" s="1132" t="s">
        <v>353</v>
      </c>
      <c r="F234" s="1421">
        <v>3</v>
      </c>
      <c r="G234" s="1131"/>
      <c r="H234" s="1133"/>
      <c r="I234" s="1133">
        <f>I232</f>
        <v>598419.22382307693</v>
      </c>
      <c r="J234" s="1064">
        <f>J232</f>
        <v>865607.57887500001</v>
      </c>
      <c r="K234" s="1064">
        <f>K232</f>
        <v>950677.59615384624</v>
      </c>
    </row>
    <row r="235" spans="1:12" s="86" customFormat="1" ht="15" customHeight="1">
      <c r="A235" s="1421"/>
      <c r="B235" s="1422"/>
      <c r="C235" s="1131"/>
      <c r="D235" s="1131"/>
      <c r="E235" s="1132" t="s">
        <v>202</v>
      </c>
      <c r="F235" s="1421"/>
      <c r="G235" s="1131"/>
      <c r="H235" s="1133"/>
      <c r="I235" s="1133">
        <f>I233</f>
        <v>409.32692307692309</v>
      </c>
      <c r="J235" s="1064">
        <f>J237</f>
        <v>1533.87</v>
      </c>
      <c r="K235" s="1064">
        <f>K237</f>
        <v>1684.6153846153848</v>
      </c>
    </row>
    <row r="236" spans="1:12" s="85" customFormat="1">
      <c r="A236" s="1111" t="str">
        <f>L_CViec!A211</f>
        <v>1</v>
      </c>
      <c r="B236" s="1118" t="str">
        <f>L_CViec!B211</f>
        <v>Công việc chuẩn bị</v>
      </c>
      <c r="C236" s="1118">
        <f>L_CViec!AB211</f>
        <v>0</v>
      </c>
      <c r="D236" s="1118"/>
      <c r="E236" s="1111"/>
      <c r="F236" s="1111">
        <f>L_CViec!AD211</f>
        <v>0</v>
      </c>
      <c r="G236" s="1118">
        <f>L_CViec!AE211</f>
        <v>0</v>
      </c>
      <c r="H236" s="1117">
        <f>L_CViec!AF211</f>
        <v>0</v>
      </c>
      <c r="I236" s="1117">
        <f>SUM(I238,I240,I241,I244,I237,I239)</f>
        <v>9538.5210230769244</v>
      </c>
      <c r="J236" s="1065">
        <f>SUM(J238,J240,J241,J244)</f>
        <v>862.80187500000011</v>
      </c>
      <c r="K236" s="1065">
        <f>SUM(K238,K240,K241,K244)</f>
        <v>947.59615384615392</v>
      </c>
    </row>
    <row r="237" spans="1:12" s="85" customFormat="1">
      <c r="A237" s="1111" t="str">
        <f>L_CViec!A212</f>
        <v>1.1</v>
      </c>
      <c r="B237" s="1118" t="str">
        <f>L_CViec!B212</f>
        <v>Chuẩn bị địa điểm đăng ký</v>
      </c>
      <c r="C237" s="1111" t="str">
        <f>L_CViec!AB212</f>
        <v>Điểm</v>
      </c>
      <c r="D237" s="1111">
        <f>L_CViec!AA212</f>
        <v>2</v>
      </c>
      <c r="E237" s="1111" t="str">
        <f>L_CViec!AC212</f>
        <v>1KS2, 1KTV4</v>
      </c>
      <c r="F237" s="1114" t="str">
        <f>L_CViec!AD212</f>
        <v>1-3</v>
      </c>
      <c r="G237" s="1111">
        <f>L_CViec!AE212</f>
        <v>2</v>
      </c>
      <c r="H237" s="1117">
        <f>L_CViec!AF212</f>
        <v>570199.5</v>
      </c>
      <c r="I237" s="1117">
        <f>G237*H237*10/20000</f>
        <v>570.19949999999994</v>
      </c>
      <c r="J237" s="1065">
        <f>J239</f>
        <v>1533.87</v>
      </c>
      <c r="K237" s="1065">
        <f>K239</f>
        <v>1684.6153846153848</v>
      </c>
    </row>
    <row r="238" spans="1:12" s="111" customFormat="1">
      <c r="A238" s="1111">
        <f>L_CViec!A213</f>
        <v>0</v>
      </c>
      <c r="B238" s="1118">
        <f>L_CViec!B213</f>
        <v>0</v>
      </c>
      <c r="C238" s="1111">
        <f>L_CViec!AB213</f>
        <v>0</v>
      </c>
      <c r="D238" s="1111">
        <f>L_CViec!AA213</f>
        <v>1</v>
      </c>
      <c r="E238" s="1111" t="str">
        <f>L_CViec!AC213</f>
        <v>LĐPT</v>
      </c>
      <c r="F238" s="1114">
        <f>L_CViec!AD213</f>
        <v>0</v>
      </c>
      <c r="G238" s="1111">
        <f>L_CViec!AE213</f>
        <v>2</v>
      </c>
      <c r="H238" s="1117">
        <f>L_CViec!AF213</f>
        <v>181923.07692307694</v>
      </c>
      <c r="I238" s="1117">
        <f>G238*H238*10/20000</f>
        <v>181.92307692307693</v>
      </c>
      <c r="J238" s="1065">
        <f>$D238*G238*L_CBac!$J$68*10/8000</f>
        <v>63.911250000000003</v>
      </c>
      <c r="K238" s="1065">
        <f>$D238*$G238*L_CBac!$J$69*10/8000</f>
        <v>70.192307692307693</v>
      </c>
    </row>
    <row r="239" spans="1:12" s="111" customFormat="1" ht="25.5">
      <c r="A239" s="1111" t="str">
        <f>L_CViec!A214</f>
        <v>1.2</v>
      </c>
      <c r="B239" s="1118" t="str">
        <f>L_CViec!B214</f>
        <v>Chuẩn bị các tài liệu, bản đồ, mẫu đơn đề nghị đăng ký, cấp GCN, danh sách các trường hợp sử dụng đất theo địa điểm</v>
      </c>
      <c r="C239" s="1111" t="str">
        <f>L_CViec!AB214</f>
        <v>Bộ tài liệu</v>
      </c>
      <c r="D239" s="1111">
        <f>L_CViec!AA214</f>
        <v>3</v>
      </c>
      <c r="E239" s="1111" t="str">
        <f>L_CViec!AC214</f>
        <v>1KS3, 1KS2, 1KTV4</v>
      </c>
      <c r="F239" s="1114" t="str">
        <f>L_CViec!AD214</f>
        <v>1-3</v>
      </c>
      <c r="G239" s="1111">
        <f>L_CViec!AE214</f>
        <v>16</v>
      </c>
      <c r="H239" s="1117">
        <f>L_CViec!AF214</f>
        <v>903649.5</v>
      </c>
      <c r="I239" s="1117">
        <f>G239*H239/20000</f>
        <v>722.91959999999995</v>
      </c>
      <c r="J239" s="1065">
        <f>$D239*G239*L_CBac!$J$68*10/8000</f>
        <v>1533.87</v>
      </c>
      <c r="K239" s="1065">
        <f>$D239*$G239*L_CBac!$J$69*10/8000</f>
        <v>1684.6153846153848</v>
      </c>
    </row>
    <row r="240" spans="1:12" s="111" customFormat="1" ht="25.5">
      <c r="A240" s="1111" t="str">
        <f>L_CViec!A215</f>
        <v>1.3</v>
      </c>
      <c r="B240" s="1118" t="str">
        <f>L_CViec!B215</f>
        <v>Tổ chức phổ biến, tuyên truyền chủ trương, chính sách về đăng ký, cấp GCN</v>
      </c>
      <c r="C240" s="1111" t="str">
        <f>L_CViec!AB215</f>
        <v>Cuộc</v>
      </c>
      <c r="D240" s="1111">
        <f>L_CViec!AA215</f>
        <v>1</v>
      </c>
      <c r="E240" s="1111" t="str">
        <f>L_CViec!AC215</f>
        <v>1KS3</v>
      </c>
      <c r="F240" s="1114" t="str">
        <f>L_CViec!AD215</f>
        <v>1-3</v>
      </c>
      <c r="G240" s="1111">
        <f>L_CViec!AE215</f>
        <v>2.5</v>
      </c>
      <c r="H240" s="1117">
        <f>L_CViec!AF215</f>
        <v>333450</v>
      </c>
      <c r="I240" s="1117">
        <f>G240*H240*10/20000</f>
        <v>416.8125</v>
      </c>
      <c r="J240" s="1065">
        <f>$D240*G240*L_CBac!$J$68*10/8000</f>
        <v>79.889062499999994</v>
      </c>
      <c r="K240" s="1065">
        <f>$D240*$G240*L_CBac!$J$69*10/8000</f>
        <v>87.740384615384613</v>
      </c>
    </row>
    <row r="241" spans="1:11" s="111" customFormat="1">
      <c r="A241" s="1111">
        <f>L_CViec!A216</f>
        <v>0</v>
      </c>
      <c r="B241" s="1118">
        <f>L_CViec!B216</f>
        <v>0</v>
      </c>
      <c r="C241" s="1111">
        <f>L_CViec!AB216</f>
        <v>0</v>
      </c>
      <c r="D241" s="1111">
        <f>L_CViec!AA216</f>
        <v>1</v>
      </c>
      <c r="E241" s="1111" t="str">
        <f>L_CViec!AC216</f>
        <v>LĐPT</v>
      </c>
      <c r="F241" s="1114">
        <f>L_CViec!AD216</f>
        <v>0</v>
      </c>
      <c r="G241" s="1111">
        <f>L_CViec!AE216</f>
        <v>2.5</v>
      </c>
      <c r="H241" s="1117">
        <f>L_CViec!AF216</f>
        <v>181923.07692307694</v>
      </c>
      <c r="I241" s="1117">
        <f>G241*H241*10/20000</f>
        <v>227.40384615384619</v>
      </c>
      <c r="J241" s="1065">
        <f>$D241*G241*L_CBac!$J$68*10/8000</f>
        <v>79.889062499999994</v>
      </c>
      <c r="K241" s="1065">
        <f>$D241*$G241*L_CBac!$J$69*10/8000</f>
        <v>87.740384615384613</v>
      </c>
    </row>
    <row r="242" spans="1:11" s="111" customFormat="1">
      <c r="A242" s="1111" t="str">
        <f>L_CViec!A217</f>
        <v>1.4</v>
      </c>
      <c r="B242" s="1118" t="str">
        <f>L_CViec!B217</f>
        <v>Hướng dẫn lập hồ sơ đề nghị đăng ký, cấp đổi GCN</v>
      </c>
      <c r="C242" s="1111">
        <f>L_CViec!AB217</f>
        <v>0</v>
      </c>
      <c r="D242" s="1111">
        <f>L_CViec!AA217</f>
        <v>0</v>
      </c>
      <c r="E242" s="1111">
        <f>L_CViec!AC217</f>
        <v>0</v>
      </c>
      <c r="F242" s="1114">
        <f>L_CViec!AD217</f>
        <v>0</v>
      </c>
      <c r="G242" s="1111">
        <f>L_CViec!AE217</f>
        <v>0</v>
      </c>
      <c r="H242" s="1117">
        <f>L_CViec!AF217</f>
        <v>0</v>
      </c>
      <c r="I242" s="1117">
        <f>G242*H242*10/8000</f>
        <v>0</v>
      </c>
      <c r="J242" s="1065"/>
      <c r="K242" s="1065"/>
    </row>
    <row r="243" spans="1:11" s="85" customFormat="1">
      <c r="A243" s="1111" t="str">
        <f>L_CViec!A218</f>
        <v>1.4.1</v>
      </c>
      <c r="B243" s="1118" t="str">
        <f>L_CViec!B218</f>
        <v>Theo hình thức trực tiếp</v>
      </c>
      <c r="C243" s="1111" t="str">
        <f>L_CViec!AB218</f>
        <v>Hồ sơ</v>
      </c>
      <c r="D243" s="1111">
        <f>L_CViec!AA218</f>
        <v>1</v>
      </c>
      <c r="E243" s="1111" t="str">
        <f>L_CViec!AC218</f>
        <v>1KS2</v>
      </c>
      <c r="F243" s="1114" t="str">
        <f>L_CViec!AD218</f>
        <v>1-3</v>
      </c>
      <c r="G243" s="1111">
        <f>L_CViec!AE218</f>
        <v>0.05</v>
      </c>
      <c r="H243" s="1117">
        <f>L_CViec!AF218</f>
        <v>296770.5</v>
      </c>
      <c r="I243" s="1117">
        <f t="shared" ref="I243:I251" si="30">G243*H243</f>
        <v>14838.525000000001</v>
      </c>
      <c r="J243" s="1065">
        <f>$D243*G243*L_CBac!$J$68</f>
        <v>1278.2250000000001</v>
      </c>
      <c r="K243" s="1065">
        <f>$D243*$G243*L_CBac!$J$69</f>
        <v>1403.846153846154</v>
      </c>
    </row>
    <row r="244" spans="1:11" s="111" customFormat="1">
      <c r="A244" s="1111" t="str">
        <f>L_CViec!A219</f>
        <v>1.4.2</v>
      </c>
      <c r="B244" s="1118" t="str">
        <f>L_CViec!B219</f>
        <v>Theo hình thức trực tuyến</v>
      </c>
      <c r="C244" s="1111" t="str">
        <f>L_CViec!AB219</f>
        <v>Hồ sơ</v>
      </c>
      <c r="D244" s="1111">
        <f>L_CViec!AA219</f>
        <v>1</v>
      </c>
      <c r="E244" s="1111" t="str">
        <f>L_CViec!AC219</f>
        <v>1KS2</v>
      </c>
      <c r="F244" s="1114" t="str">
        <f>L_CViec!AD219</f>
        <v>1-3</v>
      </c>
      <c r="G244" s="1111">
        <f>L_CViec!AE219</f>
        <v>2.5000000000000001E-2</v>
      </c>
      <c r="H244" s="1117">
        <f>L_CViec!AF219</f>
        <v>296770.5</v>
      </c>
      <c r="I244" s="1117">
        <f t="shared" si="30"/>
        <v>7419.2625000000007</v>
      </c>
      <c r="J244" s="1065">
        <f>$D244*G244*L_CBac!$J$68</f>
        <v>639.11250000000007</v>
      </c>
      <c r="K244" s="1065">
        <f>$D244*$G244*L_CBac!$J$69</f>
        <v>701.92307692307702</v>
      </c>
    </row>
    <row r="245" spans="1:11" s="111" customFormat="1" ht="38.25">
      <c r="A245" s="1111" t="str">
        <f>L_CViec!A220</f>
        <v>2</v>
      </c>
      <c r="B245" s="1118" t="str">
        <f>L_CViec!B220</f>
        <v>Nhận, kiểm tra tính đầy đủ của thành phần hồ sơ và cấp Giấy tiếp nhận hồ sơ và hẹn trả kết quả hoặc trả lại hồ sơ, vào sổ theo dõi nhận, trả hồ sơ (theo hình thức trực tiếp, trực tuyến)</v>
      </c>
      <c r="C245" s="1111" t="str">
        <f>L_CViec!AB220</f>
        <v>Hồ sơ</v>
      </c>
      <c r="D245" s="1111">
        <f>L_CViec!AA220</f>
        <v>1</v>
      </c>
      <c r="E245" s="1111" t="str">
        <f>L_CViec!AC220</f>
        <v>1KS2</v>
      </c>
      <c r="F245" s="1114" t="str">
        <f>L_CViec!AD220</f>
        <v>1-3</v>
      </c>
      <c r="G245" s="1111">
        <f>L_CViec!AE220</f>
        <v>0.05</v>
      </c>
      <c r="H245" s="1117">
        <f>L_CViec!AF220</f>
        <v>296770.5</v>
      </c>
      <c r="I245" s="1117">
        <f t="shared" si="30"/>
        <v>14838.525000000001</v>
      </c>
      <c r="J245" s="1065">
        <f>$D245*G245*L_CBac!$J$68</f>
        <v>1278.2250000000001</v>
      </c>
      <c r="K245" s="1065">
        <f>$D245*$G245*L_CBac!$J$69</f>
        <v>1403.846153846154</v>
      </c>
    </row>
    <row r="246" spans="1:11" s="85" customFormat="1" ht="25.5">
      <c r="A246" s="1111" t="str">
        <f>L_CViec!A221</f>
        <v>3</v>
      </c>
      <c r="B246" s="1118" t="str">
        <f>L_CViec!B221</f>
        <v>Tạo tệp (File) dữ liệu hồ sơ số và nhập thông tin do người sử dụng đất kê khai, đăng ký</v>
      </c>
      <c r="C246" s="1111" t="str">
        <f>L_CViec!AB221</f>
        <v>Thửa</v>
      </c>
      <c r="D246" s="1111">
        <f>L_CViec!AA221</f>
        <v>1</v>
      </c>
      <c r="E246" s="1111" t="str">
        <f>L_CViec!AC221</f>
        <v>1KS3</v>
      </c>
      <c r="F246" s="1114" t="str">
        <f>L_CViec!AD221</f>
        <v>1-3</v>
      </c>
      <c r="G246" s="1111">
        <f>L_CViec!AE221</f>
        <v>0.107</v>
      </c>
      <c r="H246" s="1117">
        <f>L_CViec!AF221</f>
        <v>333450</v>
      </c>
      <c r="I246" s="1117">
        <f t="shared" si="30"/>
        <v>35679.15</v>
      </c>
      <c r="J246" s="1065">
        <f>$D246*G246*L_CBac!$J$68</f>
        <v>2735.4014999999999</v>
      </c>
      <c r="K246" s="1065">
        <f>$D246*$G246*L_CBac!$J$69</f>
        <v>3004.2307692307695</v>
      </c>
    </row>
    <row r="247" spans="1:11" s="85" customFormat="1" ht="25.5">
      <c r="A247" s="1111" t="str">
        <f>L_CViec!A222</f>
        <v>4</v>
      </c>
      <c r="B247" s="1118" t="str">
        <f>L_CViec!B222</f>
        <v>Quét giấy tờ pháp lý về quyền sử dụng đất, quyền sở hữu nhà ở và tài sản khác gắn liền với đất</v>
      </c>
      <c r="C247" s="1111">
        <f>L_CViec!AB222</f>
        <v>0</v>
      </c>
      <c r="D247" s="1111">
        <f>L_CViec!AA222</f>
        <v>0</v>
      </c>
      <c r="E247" s="1111">
        <f>L_CViec!AC222</f>
        <v>0</v>
      </c>
      <c r="F247" s="1114">
        <f>L_CViec!AD222</f>
        <v>0</v>
      </c>
      <c r="G247" s="1111">
        <f>L_CViec!AE222</f>
        <v>0</v>
      </c>
      <c r="H247" s="1117">
        <f>L_CViec!AF222</f>
        <v>0</v>
      </c>
      <c r="I247" s="1117">
        <f t="shared" si="30"/>
        <v>0</v>
      </c>
      <c r="J247" s="1065">
        <f>$D247*G247*L_CBac!$J$68</f>
        <v>0</v>
      </c>
      <c r="K247" s="1065">
        <f>$D247*$G247*L_CBac!$J$69</f>
        <v>0</v>
      </c>
    </row>
    <row r="248" spans="1:11" s="85" customFormat="1">
      <c r="A248" s="1111" t="str">
        <f>L_CViec!A223</f>
        <v>4.1</v>
      </c>
      <c r="B248" s="1118" t="str">
        <f>L_CViec!B223</f>
        <v>Quét trang A3</v>
      </c>
      <c r="C248" s="1111" t="str">
        <f>L_CViec!AB223</f>
        <v>Trang</v>
      </c>
      <c r="D248" s="1111">
        <f>L_CViec!AA223</f>
        <v>1</v>
      </c>
      <c r="E248" s="1111" t="str">
        <f>L_CViec!AC223</f>
        <v>1KS1</v>
      </c>
      <c r="F248" s="1114" t="str">
        <f>L_CViec!AD223</f>
        <v>1-3</v>
      </c>
      <c r="G248" s="1111">
        <f>L_CViec!AE223</f>
        <v>1.6E-2</v>
      </c>
      <c r="H248" s="1117">
        <f>L_CViec!AF223</f>
        <v>260091</v>
      </c>
      <c r="I248" s="1117">
        <f t="shared" si="30"/>
        <v>4161.4560000000001</v>
      </c>
      <c r="J248" s="1065">
        <f>$D248*G248*L_CBac!$J$68</f>
        <v>409.03199999999998</v>
      </c>
      <c r="K248" s="1065">
        <f>$D248*$G248*L_CBac!$J$69</f>
        <v>449.23076923076928</v>
      </c>
    </row>
    <row r="249" spans="1:11" s="111" customFormat="1">
      <c r="A249" s="1111" t="str">
        <f>L_CViec!A224</f>
        <v>4.2</v>
      </c>
      <c r="B249" s="1118" t="str">
        <f>L_CViec!B224</f>
        <v>Quét trang A4</v>
      </c>
      <c r="C249" s="1111" t="str">
        <f>L_CViec!AB224</f>
        <v>Trang</v>
      </c>
      <c r="D249" s="1111">
        <f>L_CViec!AA224</f>
        <v>1</v>
      </c>
      <c r="E249" s="1111" t="str">
        <f>L_CViec!AC224</f>
        <v>1KS1</v>
      </c>
      <c r="F249" s="1114" t="str">
        <f>L_CViec!AD224</f>
        <v>1-3</v>
      </c>
      <c r="G249" s="1111">
        <f>L_CViec!AE224</f>
        <v>8.0000000000000002E-3</v>
      </c>
      <c r="H249" s="1117">
        <f>L_CViec!AF224</f>
        <v>260091</v>
      </c>
      <c r="I249" s="1117">
        <f t="shared" si="30"/>
        <v>2080.7280000000001</v>
      </c>
      <c r="J249" s="1065">
        <f>$D249*G249*L_CBac!$J$68</f>
        <v>204.51599999999999</v>
      </c>
      <c r="K249" s="1065">
        <f>$D249*$G249*L_CBac!$J$69</f>
        <v>224.61538461538464</v>
      </c>
    </row>
    <row r="250" spans="1:11" s="111" customFormat="1" ht="25.5">
      <c r="A250" s="1111" t="str">
        <f>L_CViec!A225</f>
        <v>5</v>
      </c>
      <c r="B250" s="1118" t="str">
        <f>L_CViec!B225</f>
        <v>Xử lý các tệp tin quét thành tệp (File) hồ sơ quét dạng số của thửa đất, lưu trữ dưới khuôn dạng tệp tin PDF</v>
      </c>
      <c r="C250" s="1111" t="str">
        <f>L_CViec!AB225</f>
        <v>Trang</v>
      </c>
      <c r="D250" s="1111">
        <f>L_CViec!AA225</f>
        <v>1</v>
      </c>
      <c r="E250" s="1111" t="str">
        <f>L_CViec!AC225</f>
        <v>1KS1</v>
      </c>
      <c r="F250" s="1114" t="str">
        <f>L_CViec!AD225</f>
        <v>1-3</v>
      </c>
      <c r="G250" s="1111">
        <f>L_CViec!AE225</f>
        <v>4.0000000000000001E-3</v>
      </c>
      <c r="H250" s="1117">
        <f>L_CViec!AF225</f>
        <v>260091</v>
      </c>
      <c r="I250" s="1117">
        <f t="shared" si="30"/>
        <v>1040.364</v>
      </c>
      <c r="J250" s="1065">
        <f>$D250*G250*L_CBac!$J$68</f>
        <v>102.258</v>
      </c>
      <c r="K250" s="1065">
        <f>$D250*$G250*L_CBac!$J$69</f>
        <v>112.30769230769232</v>
      </c>
    </row>
    <row r="251" spans="1:11" s="85" customFormat="1">
      <c r="A251" s="1111">
        <f>L_CViec!A226</f>
        <v>6</v>
      </c>
      <c r="B251" s="1118" t="str">
        <f>L_CViec!B226</f>
        <v>Chuyển hồ sơ đến Văn phòng đăng ký đất đai</v>
      </c>
      <c r="C251" s="1111">
        <f>L_CViec!AB226</f>
        <v>0</v>
      </c>
      <c r="D251" s="1111">
        <f>L_CViec!AA226</f>
        <v>0</v>
      </c>
      <c r="E251" s="1111">
        <f>L_CViec!AC226</f>
        <v>0</v>
      </c>
      <c r="F251" s="1114">
        <f>L_CViec!AD226</f>
        <v>0</v>
      </c>
      <c r="G251" s="1111">
        <f>L_CViec!AE226</f>
        <v>0</v>
      </c>
      <c r="H251" s="1117">
        <f>L_CViec!AF226</f>
        <v>0</v>
      </c>
      <c r="I251" s="1117">
        <f t="shared" si="30"/>
        <v>0</v>
      </c>
      <c r="J251" s="1065">
        <f>$D251*G251*L_CBac!$J$68</f>
        <v>0</v>
      </c>
      <c r="K251" s="1065">
        <f>$D251*$G251*L_CBac!$J$69</f>
        <v>0</v>
      </c>
    </row>
    <row r="252" spans="1:11" s="85" customFormat="1">
      <c r="A252" s="1111">
        <f>L_CViec!A227</f>
        <v>6.1</v>
      </c>
      <c r="B252" s="1118" t="str">
        <f>L_CViec!B227</f>
        <v>Theo hình thức trực tiếp</v>
      </c>
      <c r="C252" s="1111" t="str">
        <f>L_CViec!AB227</f>
        <v>Hồ sơ</v>
      </c>
      <c r="D252" s="1111">
        <f>L_CViec!AA227</f>
        <v>1</v>
      </c>
      <c r="E252" s="1111" t="str">
        <f>L_CViec!AC227</f>
        <v>1KS2</v>
      </c>
      <c r="F252" s="1114" t="str">
        <f>L_CViec!AD227</f>
        <v>1-3</v>
      </c>
      <c r="G252" s="1111">
        <f>L_CViec!AE227</f>
        <v>5.0000000000000001E-3</v>
      </c>
      <c r="H252" s="1117">
        <f>L_CViec!AF227</f>
        <v>333450</v>
      </c>
      <c r="I252" s="1117">
        <f t="shared" ref="I252:I259" si="31">G252*H252</f>
        <v>1667.25</v>
      </c>
      <c r="J252" s="1065">
        <f>$D252*G252*L_CBac!$J$68</f>
        <v>127.82250000000001</v>
      </c>
      <c r="K252" s="1065">
        <f>$D252*$G252*L_CBac!$J$69</f>
        <v>140.38461538461539</v>
      </c>
    </row>
    <row r="253" spans="1:11" s="111" customFormat="1">
      <c r="A253" s="1111">
        <f>L_CViec!A228</f>
        <v>6.2</v>
      </c>
      <c r="B253" s="1118" t="str">
        <f>L_CViec!B228</f>
        <v>Theo hình thức trực tuyến</v>
      </c>
      <c r="C253" s="1111" t="str">
        <f>L_CViec!AB228</f>
        <v>Hồ sơ</v>
      </c>
      <c r="D253" s="1111">
        <f>L_CViec!AA228</f>
        <v>1</v>
      </c>
      <c r="E253" s="1111" t="str">
        <f>L_CViec!AC228</f>
        <v>1KS2</v>
      </c>
      <c r="F253" s="1114" t="str">
        <f>L_CViec!AD228</f>
        <v>1-3</v>
      </c>
      <c r="G253" s="1111">
        <f>L_CViec!AE228</f>
        <v>4.0000000000000001E-3</v>
      </c>
      <c r="H253" s="1117">
        <f>L_CViec!AF228</f>
        <v>333450</v>
      </c>
      <c r="I253" s="1117">
        <f t="shared" si="31"/>
        <v>1333.8</v>
      </c>
      <c r="J253" s="1065">
        <f>$D253*G253*L_CBac!$J$68</f>
        <v>102.258</v>
      </c>
      <c r="K253" s="1065">
        <f>$D253*$G253*L_CBac!$J$69</f>
        <v>112.30769230769232</v>
      </c>
    </row>
    <row r="254" spans="1:11" s="111" customFormat="1">
      <c r="A254" s="1111" t="str">
        <f>L_CViec!A229</f>
        <v>7</v>
      </c>
      <c r="B254" s="1118" t="str">
        <f>L_CViec!B229</f>
        <v>Kiểm tra hồ sơ đề nghị đăng ký</v>
      </c>
      <c r="C254" s="1111" t="str">
        <f>L_CViec!AB229</f>
        <v>Hồ sơ</v>
      </c>
      <c r="D254" s="1111">
        <f>L_CViec!AA229</f>
        <v>1</v>
      </c>
      <c r="E254" s="1111" t="str">
        <f>L_CViec!AC229</f>
        <v>1KS3</v>
      </c>
      <c r="F254" s="1114" t="str">
        <f>L_CViec!AD229</f>
        <v>1-3</v>
      </c>
      <c r="G254" s="1111">
        <f>L_CViec!AE229</f>
        <v>0.1</v>
      </c>
      <c r="H254" s="1117">
        <f>L_CViec!AF229</f>
        <v>333450</v>
      </c>
      <c r="I254" s="1117">
        <f t="shared" si="31"/>
        <v>33345</v>
      </c>
      <c r="J254" s="1065">
        <f>$D254*G254*L_CBac!$J$68</f>
        <v>2556.4500000000003</v>
      </c>
      <c r="K254" s="1065">
        <f>$D254*$G254*L_CBac!$J$69</f>
        <v>2807.6923076923081</v>
      </c>
    </row>
    <row r="255" spans="1:11" s="85" customFormat="1" ht="63.75">
      <c r="A255" s="1111">
        <f>L_CViec!A230</f>
        <v>8</v>
      </c>
      <c r="B255" s="1118" t="str">
        <f>L_CViec!B230</f>
        <v>Khai thác, sử dụng thông tin về tình trạng hôn nhân trong Cơ sở dữ liệu quốc gia về dân cư hoặc thông báo cho người sử dụng đất, chủ sở hữu tài sản gắn liền với đất nộp bản sao giấy đăng ký kết hôn hoặc giấy tờ khác về tình trạng hôn nhân</v>
      </c>
      <c r="C255" s="1111" t="str">
        <f>L_CViec!AB230</f>
        <v>Hồ sơ</v>
      </c>
      <c r="D255" s="1111">
        <f>L_CViec!AA230</f>
        <v>1</v>
      </c>
      <c r="E255" s="1111" t="str">
        <f>L_CViec!AC230</f>
        <v>1KS3</v>
      </c>
      <c r="F255" s="1114" t="str">
        <f>L_CViec!AD230</f>
        <v>1-3</v>
      </c>
      <c r="G255" s="1111">
        <f>L_CViec!AE230</f>
        <v>0.1</v>
      </c>
      <c r="H255" s="1117">
        <f>L_CViec!AF230</f>
        <v>333450</v>
      </c>
      <c r="I255" s="1117">
        <f t="shared" si="31"/>
        <v>33345</v>
      </c>
      <c r="J255" s="1065">
        <f>$D255*G255*L_CBac!$J$68</f>
        <v>2556.4500000000003</v>
      </c>
      <c r="K255" s="1065">
        <f>$D255*$G255*L_CBac!$J$69</f>
        <v>2807.6923076923081</v>
      </c>
    </row>
    <row r="256" spans="1:11" s="85" customFormat="1" ht="51">
      <c r="A256" s="1111">
        <f>L_CViec!A231</f>
        <v>9</v>
      </c>
      <c r="B256" s="1118" t="str">
        <f>L_CViec!B231</f>
        <v>Kiểm tra thực địa và đối chiếu với hồ sơ đăng ký, cấp Giấy chứng nhận đã cấp để xác định đúng vị trí thửa đất (đối với trường hợp vị trí thửa đất trên Giấy chứng nhận đã cấp không chính xác so với vị trí thực tế sử dụng đất)</v>
      </c>
      <c r="C256" s="1111" t="str">
        <f>L_CViec!AB231</f>
        <v>Hồ sơ</v>
      </c>
      <c r="D256" s="1111">
        <f>L_CViec!AA231</f>
        <v>2</v>
      </c>
      <c r="E256" s="1111" t="str">
        <f>L_CViec!AC231</f>
        <v>Nhóm 2 (1KS2, 1KTV4)</v>
      </c>
      <c r="F256" s="1114" t="str">
        <f>L_CViec!AD231</f>
        <v>1-3</v>
      </c>
      <c r="G256" s="1111">
        <f>L_CViec!AE231</f>
        <v>0.5</v>
      </c>
      <c r="H256" s="1117">
        <f>L_CViec!AF231</f>
        <v>570199.5</v>
      </c>
      <c r="I256" s="1117">
        <f t="shared" si="31"/>
        <v>285099.75</v>
      </c>
      <c r="J256" s="1065">
        <f>$D256*G256*L_CBac!$J$68</f>
        <v>25564.5</v>
      </c>
      <c r="K256" s="1065">
        <f>$D256*$G256*L_CBac!$J$69</f>
        <v>28076.923076923078</v>
      </c>
    </row>
    <row r="257" spans="1:11" s="471" customFormat="1" ht="25.5">
      <c r="A257" s="1111" t="str">
        <f>L_CViec!A232</f>
        <v>10</v>
      </c>
      <c r="B257" s="1118" t="str">
        <f>L_CViec!B232</f>
        <v>Trích lục bản đồ địa chính đối với nơi đã có bản đồ địa chính hoặc kiểm tra, ký xác nhận mảnh trích đo bản đồ địa chính</v>
      </c>
      <c r="C257" s="1111">
        <f>L_CViec!AB232</f>
        <v>0</v>
      </c>
      <c r="D257" s="1111">
        <f>L_CViec!AA232</f>
        <v>0</v>
      </c>
      <c r="E257" s="1111">
        <f>L_CViec!AC232</f>
        <v>0</v>
      </c>
      <c r="F257" s="1114">
        <f>L_CViec!AD232</f>
        <v>0</v>
      </c>
      <c r="G257" s="1111">
        <f>L_CViec!AE232</f>
        <v>0</v>
      </c>
      <c r="H257" s="1117">
        <f>L_CViec!AF232</f>
        <v>0</v>
      </c>
      <c r="I257" s="1117">
        <f t="shared" si="31"/>
        <v>0</v>
      </c>
      <c r="J257" s="1065">
        <f>$D257*G257*L_CBac!$J$68</f>
        <v>0</v>
      </c>
      <c r="K257" s="1065">
        <f>$D257*$G257*L_CBac!$J$69</f>
        <v>0</v>
      </c>
    </row>
    <row r="258" spans="1:11" s="471" customFormat="1">
      <c r="A258" s="1111" t="str">
        <f>L_CViec!A233</f>
        <v>10.1</v>
      </c>
      <c r="B258" s="1118" t="str">
        <f>L_CViec!B233</f>
        <v>Trích lục trên bản đồ dạng số</v>
      </c>
      <c r="C258" s="1111" t="str">
        <f>L_CViec!AB233</f>
        <v>Hồ sơ</v>
      </c>
      <c r="D258" s="1111">
        <f>L_CViec!AA233</f>
        <v>1</v>
      </c>
      <c r="E258" s="1111" t="str">
        <f>L_CViec!AC233</f>
        <v>1KS2</v>
      </c>
      <c r="F258" s="1114" t="str">
        <f>L_CViec!AD233</f>
        <v>1-3</v>
      </c>
      <c r="G258" s="1111">
        <f>L_CViec!AE233</f>
        <v>2.5000000000000001E-2</v>
      </c>
      <c r="H258" s="1117">
        <f>L_CViec!AF233</f>
        <v>296770.5</v>
      </c>
      <c r="I258" s="1117">
        <f t="shared" si="31"/>
        <v>7419.2625000000007</v>
      </c>
      <c r="J258" s="1065">
        <f>$D258*G258*L_CBac!$J$68</f>
        <v>639.11250000000007</v>
      </c>
      <c r="K258" s="1065">
        <f>$D258*$G258*L_CBac!$J$69</f>
        <v>701.92307692307702</v>
      </c>
    </row>
    <row r="259" spans="1:11" s="85" customFormat="1">
      <c r="A259" s="1111" t="str">
        <f>L_CViec!A234</f>
        <v>10.2</v>
      </c>
      <c r="B259" s="1118" t="str">
        <f>L_CViec!B234</f>
        <v>Trích lục trên bản đồ dạng giấy</v>
      </c>
      <c r="C259" s="1111" t="str">
        <f>L_CViec!AB234</f>
        <v>Hồ sơ</v>
      </c>
      <c r="D259" s="1111">
        <f>L_CViec!AA234</f>
        <v>1</v>
      </c>
      <c r="E259" s="1111" t="str">
        <f>L_CViec!AC234</f>
        <v>1KS2</v>
      </c>
      <c r="F259" s="1114" t="str">
        <f>L_CViec!AD234</f>
        <v>1-3</v>
      </c>
      <c r="G259" s="1111">
        <f>L_CViec!AE234</f>
        <v>0.05</v>
      </c>
      <c r="H259" s="1117">
        <f>L_CViec!AF234</f>
        <v>296770.5</v>
      </c>
      <c r="I259" s="1117">
        <f t="shared" si="31"/>
        <v>14838.525000000001</v>
      </c>
      <c r="J259" s="1065">
        <f>$D259*G259*L_CBac!$J$68</f>
        <v>1278.2250000000001</v>
      </c>
      <c r="K259" s="1065">
        <f>$D259*$G259*L_CBac!$J$69</f>
        <v>1403.846153846154</v>
      </c>
    </row>
    <row r="260" spans="1:11" s="111" customFormat="1" ht="25.5">
      <c r="A260" s="1111" t="str">
        <f>L_CViec!A235</f>
        <v>11</v>
      </c>
      <c r="B260" s="1118" t="str">
        <f>L_CViec!B235</f>
        <v>Lập và gửi Phiếu chuyển thông tin để xác định nghĩa vụ tài chính về đất đai (nếu có)</v>
      </c>
      <c r="C260" s="1111">
        <f>L_CViec!AB235</f>
        <v>0</v>
      </c>
      <c r="D260" s="1111">
        <f>L_CViec!AA235</f>
        <v>0</v>
      </c>
      <c r="E260" s="1111">
        <f>L_CViec!AC235</f>
        <v>0</v>
      </c>
      <c r="F260" s="1114">
        <f>L_CViec!AD235</f>
        <v>0</v>
      </c>
      <c r="G260" s="1111">
        <f>L_CViec!AE235</f>
        <v>0</v>
      </c>
      <c r="H260" s="1117">
        <f>L_CViec!AF235</f>
        <v>0</v>
      </c>
      <c r="I260" s="1117">
        <f t="shared" ref="I260:I274" si="32">G260*H260</f>
        <v>0</v>
      </c>
      <c r="J260" s="1065">
        <f>$D260*G260*L_CBac!$J$68</f>
        <v>0</v>
      </c>
      <c r="K260" s="1065">
        <f>$D260*$G260*L_CBac!$J$69</f>
        <v>0</v>
      </c>
    </row>
    <row r="261" spans="1:11" s="111" customFormat="1">
      <c r="A261" s="1111" t="str">
        <f>L_CViec!A236</f>
        <v>11.1</v>
      </c>
      <c r="B261" s="1118" t="str">
        <f>L_CViec!B236</f>
        <v>Chuyển, nhận thông tin theo hình thức liên thông</v>
      </c>
      <c r="C261" s="1111" t="str">
        <f>L_CViec!AB236</f>
        <v>Hồ sơ</v>
      </c>
      <c r="D261" s="1111">
        <f>L_CViec!AA236</f>
        <v>1</v>
      </c>
      <c r="E261" s="1111" t="str">
        <f>L_CViec!AC236</f>
        <v>1KS3</v>
      </c>
      <c r="F261" s="1114" t="str">
        <f>L_CViec!AD236</f>
        <v>1-3</v>
      </c>
      <c r="G261" s="1111">
        <f>L_CViec!AE236</f>
        <v>0.03</v>
      </c>
      <c r="H261" s="1117">
        <f>L_CViec!AF236</f>
        <v>333450</v>
      </c>
      <c r="I261" s="1117">
        <f t="shared" si="32"/>
        <v>10003.5</v>
      </c>
      <c r="J261" s="1065">
        <f>$D261*G261*L_CBac!$J$68</f>
        <v>766.93499999999995</v>
      </c>
      <c r="K261" s="1065">
        <f>$D261*$G261*L_CBac!$J$69</f>
        <v>842.30769230769226</v>
      </c>
    </row>
    <row r="262" spans="1:11" s="85" customFormat="1">
      <c r="A262" s="1111" t="str">
        <f>L_CViec!A237</f>
        <v>11.2</v>
      </c>
      <c r="B262" s="1118" t="str">
        <f>L_CViec!B237</f>
        <v>Chuyển, nhận thông tin theo hình thức trực tiếp</v>
      </c>
      <c r="C262" s="1111" t="str">
        <f>L_CViec!AB237</f>
        <v>Hồ sơ</v>
      </c>
      <c r="D262" s="1111">
        <f>L_CViec!AA237</f>
        <v>1</v>
      </c>
      <c r="E262" s="1111" t="str">
        <f>L_CViec!AC237</f>
        <v>1KS3</v>
      </c>
      <c r="F262" s="1114" t="str">
        <f>L_CViec!AD237</f>
        <v>1-3</v>
      </c>
      <c r="G262" s="1111">
        <f>L_CViec!AE237</f>
        <v>0.04</v>
      </c>
      <c r="H262" s="1117">
        <f>L_CViec!AF237</f>
        <v>333450</v>
      </c>
      <c r="I262" s="1117">
        <f t="shared" si="32"/>
        <v>13338</v>
      </c>
      <c r="J262" s="1065">
        <f>$D262*G262*L_CBac!$J$68</f>
        <v>1022.58</v>
      </c>
      <c r="K262" s="1065">
        <f>$D262*$G262*L_CBac!$J$69</f>
        <v>1123.0769230769231</v>
      </c>
    </row>
    <row r="263" spans="1:11" s="111" customFormat="1" ht="25.5">
      <c r="A263" s="1111" t="str">
        <f>L_CViec!A238</f>
        <v>12</v>
      </c>
      <c r="B263" s="1118" t="str">
        <f>L_CViec!B238</f>
        <v>Nhận thông báo của cơ quan thuế về việc hoàn thành nghĩa vụ tài chính</v>
      </c>
      <c r="C263" s="1111">
        <f>L_CViec!AB238</f>
        <v>0</v>
      </c>
      <c r="D263" s="1111">
        <f>L_CViec!AA238</f>
        <v>0</v>
      </c>
      <c r="E263" s="1111">
        <f>L_CViec!AC238</f>
        <v>0</v>
      </c>
      <c r="F263" s="1114">
        <f>L_CViec!AD238</f>
        <v>0</v>
      </c>
      <c r="G263" s="1111">
        <f>L_CViec!AE238</f>
        <v>0</v>
      </c>
      <c r="H263" s="1117">
        <f>L_CViec!AF238</f>
        <v>0</v>
      </c>
      <c r="I263" s="1117">
        <f t="shared" si="32"/>
        <v>0</v>
      </c>
      <c r="J263" s="1065">
        <f>$D263*G263*L_CBac!$J$68</f>
        <v>0</v>
      </c>
      <c r="K263" s="1065">
        <f>$D263*$G263*L_CBac!$J$69</f>
        <v>0</v>
      </c>
    </row>
    <row r="264" spans="1:11" s="111" customFormat="1" ht="25.5">
      <c r="A264" s="1111" t="str">
        <f>L_CViec!A239</f>
        <v>12.1</v>
      </c>
      <c r="B264" s="1118" t="str">
        <f>L_CViec!B239</f>
        <v>Theo hình thức trực tiếp (gửi về xã, thị trấn để thông báo cho người sử dụng đất)</v>
      </c>
      <c r="C264" s="1111" t="str">
        <f>L_CViec!AB239</f>
        <v>Hồ sơ</v>
      </c>
      <c r="D264" s="1111">
        <f>L_CViec!AA239</f>
        <v>1</v>
      </c>
      <c r="E264" s="1111" t="str">
        <f>L_CViec!AC239</f>
        <v>1KS2</v>
      </c>
      <c r="F264" s="1114" t="str">
        <f>L_CViec!AD239</f>
        <v>1-3</v>
      </c>
      <c r="G264" s="1111">
        <f>L_CViec!AE239</f>
        <v>0.04</v>
      </c>
      <c r="H264" s="1117">
        <f>L_CViec!AF239</f>
        <v>296770.5</v>
      </c>
      <c r="I264" s="1117">
        <f t="shared" si="32"/>
        <v>11870.82</v>
      </c>
      <c r="J264" s="1065">
        <f>$D264*G264*L_CBac!$J$68</f>
        <v>1022.58</v>
      </c>
      <c r="K264" s="1065">
        <f>$D264*$G264*L_CBac!$J$69</f>
        <v>1123.0769230769231</v>
      </c>
    </row>
    <row r="265" spans="1:11" s="85" customFormat="1" ht="25.5">
      <c r="A265" s="1111" t="str">
        <f>L_CViec!A240</f>
        <v>12.2</v>
      </c>
      <c r="B265" s="1118" t="str">
        <f>L_CViec!B240</f>
        <v>Theo hình thức trực tuyến (gửi cho người sử dụng đất để thực hiện nghĩa vụ tài chính)</v>
      </c>
      <c r="C265" s="1111" t="str">
        <f>L_CViec!AB240</f>
        <v>Hồ sơ</v>
      </c>
      <c r="D265" s="1111">
        <f>L_CViec!AA240</f>
        <v>1</v>
      </c>
      <c r="E265" s="1111" t="str">
        <f>L_CViec!AC240</f>
        <v>1KS2</v>
      </c>
      <c r="F265" s="1114" t="str">
        <f>L_CViec!AD240</f>
        <v>1-3</v>
      </c>
      <c r="G265" s="1111">
        <f>L_CViec!AE240</f>
        <v>0.03</v>
      </c>
      <c r="H265" s="1117">
        <f>L_CViec!AF240</f>
        <v>296770.5</v>
      </c>
      <c r="I265" s="1117">
        <f t="shared" si="32"/>
        <v>8903.1149999999998</v>
      </c>
      <c r="J265" s="1065">
        <f>$D265*G265*L_CBac!$J$68</f>
        <v>766.93499999999995</v>
      </c>
      <c r="K265" s="1065">
        <f>$D265*$G265*L_CBac!$J$69</f>
        <v>842.30769230769226</v>
      </c>
    </row>
    <row r="266" spans="1:11" s="111" customFormat="1" ht="25.5">
      <c r="A266" s="1111" t="str">
        <f>L_CViec!A241</f>
        <v>13</v>
      </c>
      <c r="B266" s="1118" t="str">
        <f>L_CViec!B241</f>
        <v xml:space="preserve">Nhập thông tin thửa đất, tài sản gắn liền với đất, đăng ký vào hồ sơ địa chính, cơ sở dữ liệu đất đai    </v>
      </c>
      <c r="C266" s="1111" t="str">
        <f>L_CViec!AB241</f>
        <v>Thửa</v>
      </c>
      <c r="D266" s="1111">
        <f>L_CViec!AA241</f>
        <v>1</v>
      </c>
      <c r="E266" s="1111" t="str">
        <f>L_CViec!AC241</f>
        <v>1KS3</v>
      </c>
      <c r="F266" s="1114" t="str">
        <f>L_CViec!AD241</f>
        <v>1-3</v>
      </c>
      <c r="G266" s="1111">
        <f>L_CViec!AE241</f>
        <v>3.3000000000000002E-2</v>
      </c>
      <c r="H266" s="1117">
        <f>L_CViec!AF241</f>
        <v>333450</v>
      </c>
      <c r="I266" s="1117">
        <f t="shared" si="32"/>
        <v>11003.85</v>
      </c>
      <c r="J266" s="1065">
        <f>$D266*G266*L_CBac!$J$68</f>
        <v>843.62850000000003</v>
      </c>
      <c r="K266" s="1065">
        <f>$D266*$G266*L_CBac!$J$69</f>
        <v>926.53846153846166</v>
      </c>
    </row>
    <row r="267" spans="1:11" s="111" customFormat="1">
      <c r="A267" s="1111" t="str">
        <f>L_CViec!A242</f>
        <v>14</v>
      </c>
      <c r="B267" s="1118" t="str">
        <f>L_CViec!B242</f>
        <v>Chuẩn bị hợp đồng cho thuê đất (nếu có)</v>
      </c>
      <c r="C267" s="1111" t="str">
        <f>L_CViec!AB242</f>
        <v>Hồ sơ</v>
      </c>
      <c r="D267" s="1111">
        <f>L_CViec!AA242</f>
        <v>1</v>
      </c>
      <c r="E267" s="1111" t="str">
        <f>L_CViec!AC242</f>
        <v>1KS3</v>
      </c>
      <c r="F267" s="1114" t="str">
        <f>L_CViec!AD242</f>
        <v>1-3</v>
      </c>
      <c r="G267" s="1111">
        <f>L_CViec!AE242</f>
        <v>0.2</v>
      </c>
      <c r="H267" s="1117">
        <f>L_CViec!AF242</f>
        <v>333450</v>
      </c>
      <c r="I267" s="1117">
        <f t="shared" si="32"/>
        <v>66690</v>
      </c>
      <c r="J267" s="1065">
        <f>$D267*G267*L_CBac!$J$68</f>
        <v>5112.9000000000005</v>
      </c>
      <c r="K267" s="1065">
        <f>$D267*$G267*L_CBac!$J$69</f>
        <v>5615.3846153846162</v>
      </c>
    </row>
    <row r="268" spans="1:11" s="85" customFormat="1">
      <c r="A268" s="1111" t="str">
        <f>L_CViec!A243</f>
        <v>15</v>
      </c>
      <c r="B268" s="1118" t="str">
        <f>L_CViec!B243</f>
        <v>In GCN</v>
      </c>
      <c r="C268" s="1111">
        <f>L_CViec!AB243</f>
        <v>0</v>
      </c>
      <c r="D268" s="1111">
        <f>L_CViec!AA243</f>
        <v>0</v>
      </c>
      <c r="E268" s="1111">
        <f>L_CViec!AC243</f>
        <v>0</v>
      </c>
      <c r="F268" s="1114">
        <f>L_CViec!AD243</f>
        <v>0</v>
      </c>
      <c r="G268" s="1111">
        <f>L_CViec!AE243</f>
        <v>0</v>
      </c>
      <c r="H268" s="1117">
        <f>L_CViec!AF243</f>
        <v>0</v>
      </c>
      <c r="I268" s="1117">
        <f t="shared" si="32"/>
        <v>0</v>
      </c>
      <c r="J268" s="1065">
        <f>$D268*G268*L_CBac!$J$68</f>
        <v>0</v>
      </c>
      <c r="K268" s="1065">
        <f>$D268*$G268*L_CBac!$J$69</f>
        <v>0</v>
      </c>
    </row>
    <row r="269" spans="1:11" s="85" customFormat="1">
      <c r="A269" s="1111" t="str">
        <f>L_CViec!A244</f>
        <v>15.1</v>
      </c>
      <c r="B269" s="1118" t="str">
        <f>L_CViec!B244</f>
        <v>Trực tiếp từ cơ sở dữ liệu dạng số</v>
      </c>
      <c r="C269" s="1111" t="str">
        <f>L_CViec!AB244</f>
        <v>GCN</v>
      </c>
      <c r="D269" s="1111">
        <f>L_CViec!AA244</f>
        <v>1</v>
      </c>
      <c r="E269" s="1111" t="str">
        <f>L_CViec!AC244</f>
        <v>1KS2</v>
      </c>
      <c r="F269" s="1114" t="str">
        <f>L_CViec!AD244</f>
        <v>1-3</v>
      </c>
      <c r="G269" s="1111">
        <f>L_CViec!AE244</f>
        <v>0.05</v>
      </c>
      <c r="H269" s="1117">
        <f>L_CViec!AF244</f>
        <v>296770.5</v>
      </c>
      <c r="I269" s="1117">
        <f t="shared" si="32"/>
        <v>14838.525000000001</v>
      </c>
      <c r="J269" s="1065">
        <f>$D269*G269*L_CBac!$J$68</f>
        <v>1278.2250000000001</v>
      </c>
      <c r="K269" s="1065">
        <f>$D269*$G269*L_CBac!$J$69</f>
        <v>1403.846153846154</v>
      </c>
    </row>
    <row r="270" spans="1:11" s="85" customFormat="1">
      <c r="A270" s="1111" t="str">
        <f>L_CViec!A245</f>
        <v>15.2</v>
      </c>
      <c r="B270" s="1118" t="str">
        <f>L_CViec!B245</f>
        <v>Đối với những nơi chưa có bản đồ dạng số</v>
      </c>
      <c r="C270" s="1111" t="str">
        <f>L_CViec!AB245</f>
        <v>GCN</v>
      </c>
      <c r="D270" s="1111">
        <f>L_CViec!AA245</f>
        <v>1</v>
      </c>
      <c r="E270" s="1111" t="str">
        <f>L_CViec!AC245</f>
        <v>1KS2</v>
      </c>
      <c r="F270" s="1114" t="str">
        <f>L_CViec!AD245</f>
        <v>1-3</v>
      </c>
      <c r="G270" s="1111">
        <f>L_CViec!AE245</f>
        <v>0.1</v>
      </c>
      <c r="H270" s="1117">
        <f>L_CViec!AF245</f>
        <v>296770.5</v>
      </c>
      <c r="I270" s="1117">
        <f t="shared" si="32"/>
        <v>29677.050000000003</v>
      </c>
      <c r="J270" s="1065">
        <f>$D270*G270*L_CBac!$J$68</f>
        <v>2556.4500000000003</v>
      </c>
      <c r="K270" s="1065">
        <f>$D270*$G270*L_CBac!$J$69</f>
        <v>2807.6923076923081</v>
      </c>
    </row>
    <row r="271" spans="1:11" s="111" customFormat="1" ht="25.5">
      <c r="A271" s="1111" t="str">
        <f>L_CViec!A246</f>
        <v>16</v>
      </c>
      <c r="B271" s="1118" t="str">
        <f>L_CViec!B246</f>
        <v>Lập và gửi hồ sơ trình ký GCN, lập hồ sơ theo dõi việc gửi tài liệu</v>
      </c>
      <c r="C271" s="1111" t="str">
        <f>L_CViec!AB246</f>
        <v>Hồ sơ</v>
      </c>
      <c r="D271" s="1111">
        <f>L_CViec!AA246</f>
        <v>1</v>
      </c>
      <c r="E271" s="1111" t="str">
        <f>L_CViec!AC246</f>
        <v>1KS2</v>
      </c>
      <c r="F271" s="1114" t="str">
        <f>L_CViec!AD246</f>
        <v>1-3</v>
      </c>
      <c r="G271" s="1111">
        <f>L_CViec!AE246</f>
        <v>0.04</v>
      </c>
      <c r="H271" s="1117">
        <f>L_CViec!AF246</f>
        <v>296770.5</v>
      </c>
      <c r="I271" s="1117">
        <f t="shared" si="32"/>
        <v>11870.82</v>
      </c>
      <c r="J271" s="1065">
        <f>$D271*G271*L_CBac!$J$68</f>
        <v>1022.58</v>
      </c>
      <c r="K271" s="1065">
        <f>$D271*$G271*L_CBac!$J$69</f>
        <v>1123.0769230769231</v>
      </c>
    </row>
    <row r="272" spans="1:11" s="111" customFormat="1" ht="25.5">
      <c r="A272" s="1111" t="str">
        <f>L_CViec!A247</f>
        <v>17</v>
      </c>
      <c r="B272" s="1118" t="str">
        <f>L_CViec!B247</f>
        <v>Nhận lại hồ sơ, GCN, hợp đồng thuê đất (nếu có); lập và sao sổ cấp GCN;  quét (sao) GCN để lưu</v>
      </c>
      <c r="C272" s="1111">
        <f>L_CViec!AB247</f>
        <v>0</v>
      </c>
      <c r="D272" s="1111">
        <f>L_CViec!AA247</f>
        <v>0</v>
      </c>
      <c r="E272" s="1111">
        <f>L_CViec!AC247</f>
        <v>0</v>
      </c>
      <c r="F272" s="1114">
        <f>L_CViec!AD247</f>
        <v>0</v>
      </c>
      <c r="G272" s="1111">
        <f>L_CViec!AE247</f>
        <v>0</v>
      </c>
      <c r="H272" s="1117">
        <f>L_CViec!AF247</f>
        <v>0</v>
      </c>
      <c r="I272" s="1117">
        <f t="shared" si="32"/>
        <v>0</v>
      </c>
      <c r="J272" s="1065">
        <f>$D272*G272*L_CBac!$J$68</f>
        <v>0</v>
      </c>
      <c r="K272" s="1065">
        <f>$D272*$G272*L_CBac!$J$69</f>
        <v>0</v>
      </c>
    </row>
    <row r="273" spans="1:11" s="85" customFormat="1" ht="51">
      <c r="A273" s="1111" t="str">
        <f>L_CViec!A248</f>
        <v>17.1</v>
      </c>
      <c r="B273" s="1118" t="str">
        <f>L_CViec!B248</f>
        <v>Thông báo danh sách các trường hợp làm thủ tục cấp Giấy chứng nhận cho bên nhận thế chấp; xác nhận việc đăng ký thế chấp vào GCN sau khi được cơ quan có thẩm quyền ký cấp đổi</v>
      </c>
      <c r="C273" s="1111" t="str">
        <f>L_CViec!AB248</f>
        <v>Hồ sơ</v>
      </c>
      <c r="D273" s="1111">
        <f>L_CViec!AA248</f>
        <v>1</v>
      </c>
      <c r="E273" s="1111" t="str">
        <f>L_CViec!AC248</f>
        <v>1KS2</v>
      </c>
      <c r="F273" s="1114" t="str">
        <f>L_CViec!AD248</f>
        <v>1-3</v>
      </c>
      <c r="G273" s="1111">
        <f>L_CViec!AE248</f>
        <v>0.05</v>
      </c>
      <c r="H273" s="1117">
        <f>L_CViec!AF248</f>
        <v>296770.5</v>
      </c>
      <c r="I273" s="1117">
        <f t="shared" si="32"/>
        <v>14838.525000000001</v>
      </c>
      <c r="J273" s="1065">
        <f>$D273*G273*L_CBac!$J$68</f>
        <v>1278.2250000000001</v>
      </c>
      <c r="K273" s="1065">
        <f>$D273*$G273*L_CBac!$J$69</f>
        <v>1403.846153846154</v>
      </c>
    </row>
    <row r="274" spans="1:11" s="85" customFormat="1" ht="25.5">
      <c r="A274" s="1111" t="str">
        <f>L_CViec!A249</f>
        <v>17.2</v>
      </c>
      <c r="B274" s="1118" t="str">
        <f>L_CViec!B249</f>
        <v>Văn phòng đăng ký đất đai nhận lại Giấy chứng nhận cũ đang thế chấp từ tổ chức tín dụng và trao Giấy chứng nhận mới</v>
      </c>
      <c r="C274" s="1111" t="str">
        <f>L_CViec!AB249</f>
        <v>Hồ sơ</v>
      </c>
      <c r="D274" s="1111">
        <f>L_CViec!AA249</f>
        <v>1</v>
      </c>
      <c r="E274" s="1111" t="str">
        <f>L_CViec!AC249</f>
        <v>1KS2</v>
      </c>
      <c r="F274" s="1114" t="str">
        <f>L_CViec!AD249</f>
        <v>1-3</v>
      </c>
      <c r="G274" s="1111">
        <f>L_CViec!AE249</f>
        <v>0.05</v>
      </c>
      <c r="H274" s="1117">
        <f>L_CViec!AF249</f>
        <v>296770.5</v>
      </c>
      <c r="I274" s="1117">
        <f t="shared" si="32"/>
        <v>14838.525000000001</v>
      </c>
      <c r="J274" s="1065">
        <f>SUM(J275:J276)</f>
        <v>843.62850000000003</v>
      </c>
      <c r="K274" s="1065">
        <f>SUM(K275:K276)</f>
        <v>926.53846153846166</v>
      </c>
    </row>
    <row r="275" spans="1:11" s="111" customFormat="1">
      <c r="A275" s="1111" t="str">
        <f>L_CViec!A250</f>
        <v>18</v>
      </c>
      <c r="B275" s="1118" t="str">
        <f>L_CViec!B250</f>
        <v>Nhập bổ sung thông tin dữ liệu về GCN</v>
      </c>
      <c r="C275" s="1111" t="str">
        <f>L_CViec!AB250</f>
        <v>Thửa</v>
      </c>
      <c r="D275" s="1111">
        <f>L_CViec!AA250</f>
        <v>1</v>
      </c>
      <c r="E275" s="1111" t="str">
        <f>L_CViec!AC250</f>
        <v>1KS3</v>
      </c>
      <c r="F275" s="1114" t="str">
        <f>L_CViec!AD250</f>
        <v>1-3</v>
      </c>
      <c r="G275" s="1111">
        <f>L_CViec!AE250</f>
        <v>3.3000000000000002E-2</v>
      </c>
      <c r="H275" s="1117">
        <f>L_CViec!AF250</f>
        <v>333450</v>
      </c>
      <c r="I275" s="1117">
        <f t="shared" ref="I275:I281" si="33">G275*H275</f>
        <v>11003.85</v>
      </c>
      <c r="J275" s="1065">
        <f>$D275*G275*L_CBac!$J$68</f>
        <v>843.62850000000003</v>
      </c>
      <c r="K275" s="1065">
        <f>$D275*$G275*L_CBac!$J$69</f>
        <v>926.53846153846166</v>
      </c>
    </row>
    <row r="276" spans="1:11" s="111" customFormat="1" ht="25.5">
      <c r="A276" s="1111" t="str">
        <f>L_CViec!A251</f>
        <v>19</v>
      </c>
      <c r="B276" s="1118" t="str">
        <f>L_CViec!B251</f>
        <v>Quét giấy tờ pháp lý về quyền sử dụng đất, quyền sở hữu nhà ở và tài sản khác gắn liền với đất</v>
      </c>
      <c r="C276" s="1111">
        <f>L_CViec!AB251</f>
        <v>0</v>
      </c>
      <c r="D276" s="1111">
        <f>L_CViec!AA251</f>
        <v>0</v>
      </c>
      <c r="E276" s="1111">
        <f>L_CViec!AC251</f>
        <v>0</v>
      </c>
      <c r="F276" s="1114">
        <f>L_CViec!AD251</f>
        <v>0</v>
      </c>
      <c r="G276" s="1111">
        <f>L_CViec!AE251</f>
        <v>0</v>
      </c>
      <c r="H276" s="1117">
        <f>L_CViec!AF251</f>
        <v>0</v>
      </c>
      <c r="I276" s="1117">
        <f t="shared" si="33"/>
        <v>0</v>
      </c>
      <c r="J276" s="1065">
        <f>$D276*G276*L_CBac!$J$68</f>
        <v>0</v>
      </c>
      <c r="K276" s="1065">
        <f>$D276*$G276*L_CBac!$J$69</f>
        <v>0</v>
      </c>
    </row>
    <row r="277" spans="1:11" s="85" customFormat="1">
      <c r="A277" s="1111" t="str">
        <f>L_CViec!A252</f>
        <v>19.1</v>
      </c>
      <c r="B277" s="1118" t="str">
        <f>L_CViec!B252</f>
        <v>Quét trang A3</v>
      </c>
      <c r="C277" s="1111" t="str">
        <f>L_CViec!AB252</f>
        <v>Trang</v>
      </c>
      <c r="D277" s="1111">
        <f>L_CViec!AA252</f>
        <v>1</v>
      </c>
      <c r="E277" s="1111" t="str">
        <f>L_CViec!AC252</f>
        <v>1KS1</v>
      </c>
      <c r="F277" s="1114" t="str">
        <f>L_CViec!AD252</f>
        <v>1-3</v>
      </c>
      <c r="G277" s="1111">
        <f>L_CViec!AE252</f>
        <v>1.6E-2</v>
      </c>
      <c r="H277" s="1117">
        <f>L_CViec!AF252</f>
        <v>260091</v>
      </c>
      <c r="I277" s="1117">
        <f t="shared" si="33"/>
        <v>4161.4560000000001</v>
      </c>
      <c r="J277" s="1065">
        <f>$D277*G277*L_CBac!$J$68</f>
        <v>409.03199999999998</v>
      </c>
      <c r="K277" s="1065">
        <f>$D277*$G277*L_CBac!$J$69</f>
        <v>449.23076923076928</v>
      </c>
    </row>
    <row r="278" spans="1:11" s="85" customFormat="1">
      <c r="A278" s="1111" t="str">
        <f>L_CViec!A253</f>
        <v>19.2</v>
      </c>
      <c r="B278" s="1118" t="str">
        <f>L_CViec!B253</f>
        <v>Quét trang A4</v>
      </c>
      <c r="C278" s="1111" t="str">
        <f>L_CViec!AB253</f>
        <v>Trang</v>
      </c>
      <c r="D278" s="1111">
        <f>L_CViec!AA253</f>
        <v>1</v>
      </c>
      <c r="E278" s="1111" t="str">
        <f>L_CViec!AC253</f>
        <v>1KS1</v>
      </c>
      <c r="F278" s="1114" t="str">
        <f>L_CViec!AD253</f>
        <v>1-3</v>
      </c>
      <c r="G278" s="1111">
        <f>L_CViec!AE253</f>
        <v>8.0000000000000002E-3</v>
      </c>
      <c r="H278" s="1117">
        <f>L_CViec!AF253</f>
        <v>260091</v>
      </c>
      <c r="I278" s="1117">
        <f t="shared" si="33"/>
        <v>2080.7280000000001</v>
      </c>
      <c r="J278" s="1065">
        <f>$D278*G278*L_CBac!$J$68</f>
        <v>204.51599999999999</v>
      </c>
      <c r="K278" s="1065">
        <f>$D278*$G278*L_CBac!$J$69</f>
        <v>224.61538461538464</v>
      </c>
    </row>
    <row r="279" spans="1:11" s="111" customFormat="1" ht="25.5">
      <c r="A279" s="1111" t="str">
        <f>L_CViec!A254</f>
        <v>20</v>
      </c>
      <c r="B279" s="1118" t="str">
        <f>L_CViec!B254</f>
        <v>Xử lý các tệp tin quét thành tệp (File) hồ sơ quét dạng số của thửa đất, lưu trữ dưới khuôn dạng tệp tin PDF</v>
      </c>
      <c r="C279" s="1111" t="str">
        <f>L_CViec!AB254</f>
        <v>Trang</v>
      </c>
      <c r="D279" s="1111">
        <f>L_CViec!AA254</f>
        <v>1</v>
      </c>
      <c r="E279" s="1111" t="str">
        <f>L_CViec!AC254</f>
        <v>1KS1</v>
      </c>
      <c r="F279" s="1114" t="str">
        <f>L_CViec!AD254</f>
        <v>1-3</v>
      </c>
      <c r="G279" s="1111">
        <f>L_CViec!AE254</f>
        <v>4.0000000000000001E-3</v>
      </c>
      <c r="H279" s="1117">
        <f>L_CViec!AF254</f>
        <v>260091</v>
      </c>
      <c r="I279" s="1117">
        <f t="shared" si="33"/>
        <v>1040.364</v>
      </c>
      <c r="J279" s="1065">
        <f>SUM(J280:J281)</f>
        <v>766.93500000000006</v>
      </c>
      <c r="K279" s="1065">
        <f>SUM(K280:K281)</f>
        <v>842.30769230769238</v>
      </c>
    </row>
    <row r="280" spans="1:11" s="111" customFormat="1" ht="25.5">
      <c r="A280" s="1111" t="str">
        <f>L_CViec!A255</f>
        <v>21</v>
      </c>
      <c r="B280" s="1118" t="str">
        <f>L_CViec!B255</f>
        <v>Tạo liên kết hồ sơ quét dạng số với thửa đất trong cơ sở dữ liệu</v>
      </c>
      <c r="C280" s="1111" t="str">
        <f>L_CViec!AB255</f>
        <v>Thửa</v>
      </c>
      <c r="D280" s="1111">
        <f>L_CViec!AA255</f>
        <v>1</v>
      </c>
      <c r="E280" s="1111" t="str">
        <f>L_CViec!AC255</f>
        <v>1KS1</v>
      </c>
      <c r="F280" s="1114" t="str">
        <f>L_CViec!AD255</f>
        <v>1-3</v>
      </c>
      <c r="G280" s="1111">
        <f>L_CViec!AE255</f>
        <v>0.01</v>
      </c>
      <c r="H280" s="1117">
        <f>L_CViec!AF255</f>
        <v>260091</v>
      </c>
      <c r="I280" s="1117">
        <f t="shared" si="33"/>
        <v>2600.91</v>
      </c>
      <c r="J280" s="1065">
        <f>$D280*G280*L_CBac!$J$68</f>
        <v>255.64500000000001</v>
      </c>
      <c r="K280" s="1065">
        <f>$D280*$G280*L_CBac!$J$69</f>
        <v>280.76923076923077</v>
      </c>
    </row>
    <row r="281" spans="1:11" s="111" customFormat="1" ht="38.25">
      <c r="A281" s="1111" t="str">
        <f>L_CViec!A256</f>
        <v>22</v>
      </c>
      <c r="B281" s="1118" t="str">
        <f>L_CViec!B256</f>
        <v>Chuyển Giấy chứng nhận đến Bộ phận một cửa để trao cho người sử dụng đất hoặc chuyển Giấy chứng nhận cho người sử dụng đất thông qua dịch vụ bưu chính công ích</v>
      </c>
      <c r="C281" s="1111" t="str">
        <f>L_CViec!AB256</f>
        <v>Hồ sơ</v>
      </c>
      <c r="D281" s="1111">
        <f>L_CViec!AA256</f>
        <v>1</v>
      </c>
      <c r="E281" s="1111" t="str">
        <f>L_CViec!AC256</f>
        <v>1KS2</v>
      </c>
      <c r="F281" s="1114" t="str">
        <f>L_CViec!AD256</f>
        <v>1-3</v>
      </c>
      <c r="G281" s="1111">
        <f>L_CViec!AE256</f>
        <v>0.02</v>
      </c>
      <c r="H281" s="1117">
        <f>L_CViec!AF256</f>
        <v>296770.5</v>
      </c>
      <c r="I281" s="1117">
        <f t="shared" si="33"/>
        <v>5935.41</v>
      </c>
      <c r="J281" s="1065">
        <f>$D281*G281*L_CBac!$J$68</f>
        <v>511.29</v>
      </c>
      <c r="K281" s="1065">
        <f>$D281*$G281*L_CBac!$J$69</f>
        <v>561.53846153846155</v>
      </c>
    </row>
    <row r="282" spans="1:11" s="111" customFormat="1" ht="38.25">
      <c r="A282" s="1111" t="str">
        <f>L_CViec!A257</f>
        <v>23</v>
      </c>
      <c r="B282" s="1118" t="str">
        <f>L_CViec!B257</f>
        <v xml:space="preserve">Nhận hồ sơ địa chính từ cấp tỉnh và gửi về xã, phường (01 bộ) </v>
      </c>
      <c r="C282" s="1111" t="str">
        <f>L_CViec!AB257</f>
        <v>Bộ/xã , phường</v>
      </c>
      <c r="D282" s="1111">
        <f>L_CViec!AA257</f>
        <v>1</v>
      </c>
      <c r="E282" s="1111" t="str">
        <f>L_CViec!AC257</f>
        <v>1KS2</v>
      </c>
      <c r="F282" s="1114" t="str">
        <f>L_CViec!AD257</f>
        <v>1-3</v>
      </c>
      <c r="G282" s="1111">
        <f>L_CViec!AE257</f>
        <v>32</v>
      </c>
      <c r="H282" s="1117">
        <f>L_CViec!AF257</f>
        <v>296770.5</v>
      </c>
      <c r="I282" s="1117">
        <f>G282*H282/20000</f>
        <v>474.83280000000002</v>
      </c>
      <c r="J282" s="1065">
        <f>$D282*G282*L_CBac!$J$68</f>
        <v>818064</v>
      </c>
      <c r="K282" s="1065">
        <f>$D282*$G282*L_CBac!$J$69</f>
        <v>898461.5384615385</v>
      </c>
    </row>
    <row r="283" spans="1:11" s="85" customFormat="1" ht="30" customHeight="1">
      <c r="A283" s="1132" t="str">
        <f>L_CViec!A258</f>
        <v>IV.2</v>
      </c>
      <c r="B283" s="1131" t="str">
        <f>L_CViec!B258</f>
        <v>CÁC NỘI DUNG THỰC HIỆN TẠI ĐỊA BÀN CẤP TỈNH</v>
      </c>
      <c r="C283" s="1131">
        <f>L_CViec!AB258</f>
        <v>0</v>
      </c>
      <c r="D283" s="1131">
        <f>L_CViec!AA258</f>
        <v>0</v>
      </c>
      <c r="E283" s="1131">
        <f>L_CViec!AC258</f>
        <v>0</v>
      </c>
      <c r="F283" s="1131">
        <f>L_CViec!AD258</f>
        <v>0</v>
      </c>
      <c r="G283" s="1111">
        <f>L_CViec!AE258</f>
        <v>0</v>
      </c>
      <c r="H283" s="1133">
        <f>L_CViec!AF258</f>
        <v>0</v>
      </c>
      <c r="I283" s="1133">
        <f>SUM(I284,I287,I290)</f>
        <v>27676.433362500004</v>
      </c>
      <c r="J283" s="1064">
        <f>SUM(J284,J287,J290)</f>
        <v>4222.9358437499995</v>
      </c>
      <c r="K283" s="1064">
        <f>SUM(K284,K287,K290)</f>
        <v>4637.9567307692305</v>
      </c>
    </row>
    <row r="284" spans="1:11" s="85" customFormat="1">
      <c r="A284" s="1111" t="str">
        <f>L_CViec!A259</f>
        <v>1</v>
      </c>
      <c r="B284" s="1118" t="str">
        <f>L_CViec!B259</f>
        <v>Lập hồ sơ địa chính</v>
      </c>
      <c r="C284" s="1111">
        <f>L_CViec!AB259</f>
        <v>0</v>
      </c>
      <c r="D284" s="1111">
        <f>L_CViec!AA259</f>
        <v>0</v>
      </c>
      <c r="E284" s="1111">
        <f>L_CViec!AC259</f>
        <v>0</v>
      </c>
      <c r="F284" s="1111">
        <f>L_CViec!AD259</f>
        <v>0</v>
      </c>
      <c r="G284" s="1111">
        <f>L_CViec!AE259</f>
        <v>0</v>
      </c>
      <c r="H284" s="1117">
        <f>L_CViec!AF259</f>
        <v>0</v>
      </c>
      <c r="I284" s="1117">
        <f>SUM(I285:I286)</f>
        <v>25909.065000000002</v>
      </c>
      <c r="J284" s="1065">
        <f>SUM(J285:J286)</f>
        <v>4090.32</v>
      </c>
      <c r="K284" s="1065">
        <f>SUM(K285:K286)</f>
        <v>4492.3076923076924</v>
      </c>
    </row>
    <row r="285" spans="1:11" s="111" customFormat="1" ht="25.5">
      <c r="A285" s="1134" t="str">
        <f>L_CViec!A260</f>
        <v>1.1</v>
      </c>
      <c r="B285" s="1135" t="str">
        <f>L_CViec!B260</f>
        <v>Hoàn thiện BĐĐC và Sổ mục kê đất đai theo kết quả đăng ký, cấp GCN</v>
      </c>
      <c r="C285" s="1111" t="str">
        <f>L_CViec!AB260</f>
        <v>Bộ/ đĩa</v>
      </c>
      <c r="D285" s="1111">
        <f>L_CViec!AA260</f>
        <v>1</v>
      </c>
      <c r="E285" s="1111" t="str">
        <f>L_CViec!AC260</f>
        <v>1KS4</v>
      </c>
      <c r="F285" s="1111" t="str">
        <f>L_CViec!AD260</f>
        <v>1-3</v>
      </c>
      <c r="G285" s="1111">
        <f>L_CViec!AE260</f>
        <v>1200</v>
      </c>
      <c r="H285" s="1117">
        <f>L_CViec!AF260</f>
        <v>370129.5</v>
      </c>
      <c r="I285" s="1117">
        <f>G285*H285/20000</f>
        <v>22207.77</v>
      </c>
      <c r="J285" s="1065">
        <f>$D285*G285*L_CBac!$J$68/8000</f>
        <v>3834.6750000000002</v>
      </c>
      <c r="K285" s="1065">
        <f>$D285*$G285*L_CBac!$J$69/8000</f>
        <v>4211.5384615384619</v>
      </c>
    </row>
    <row r="286" spans="1:11" s="111" customFormat="1">
      <c r="A286" s="1134" t="str">
        <f>L_CViec!A261</f>
        <v>1.2</v>
      </c>
      <c r="B286" s="1135" t="str">
        <f>L_CViec!B261</f>
        <v>Lập, hoàn thiện sổ địa chính điện tử</v>
      </c>
      <c r="C286" s="1111" t="str">
        <f>L_CViec!AB261</f>
        <v>Thửa</v>
      </c>
      <c r="D286" s="1111">
        <f>L_CViec!AA261</f>
        <v>1</v>
      </c>
      <c r="E286" s="1111" t="str">
        <f>L_CViec!AC261</f>
        <v>1KS4</v>
      </c>
      <c r="F286" s="1111" t="str">
        <f>L_CViec!AD261</f>
        <v>1-3</v>
      </c>
      <c r="G286" s="1111">
        <f>L_CViec!AE261</f>
        <v>0.01</v>
      </c>
      <c r="H286" s="1117">
        <f>L_CViec!AF261</f>
        <v>370129.5</v>
      </c>
      <c r="I286" s="1117">
        <f>G286*H286</f>
        <v>3701.2950000000001</v>
      </c>
      <c r="J286" s="1065">
        <f>G286*L_CBac!$J$68</f>
        <v>255.64500000000001</v>
      </c>
      <c r="K286" s="1065">
        <f>$G286*L_CBac!$J$69</f>
        <v>280.76923076923077</v>
      </c>
    </row>
    <row r="287" spans="1:11" s="85" customFormat="1" ht="30" customHeight="1">
      <c r="A287" s="1111" t="str">
        <f>L_CViec!A262</f>
        <v>2</v>
      </c>
      <c r="B287" s="1118" t="str">
        <f>L_CViec!B262</f>
        <v>Sao, in ấn hồ sơ địa chính để cung cấp cho xã, thị trấn quản lý và khai thác sử dụng</v>
      </c>
      <c r="C287" s="1111">
        <f>L_CViec!AB262</f>
        <v>0</v>
      </c>
      <c r="D287" s="1111">
        <f>L_CViec!AA262</f>
        <v>0</v>
      </c>
      <c r="E287" s="1111">
        <f>L_CViec!AC262</f>
        <v>0</v>
      </c>
      <c r="F287" s="1111">
        <f>L_CViec!AD262</f>
        <v>0</v>
      </c>
      <c r="G287" s="1111">
        <f>L_CViec!AE262</f>
        <v>0</v>
      </c>
      <c r="H287" s="1117">
        <f>L_CViec!AF262</f>
        <v>0</v>
      </c>
      <c r="I287" s="1117">
        <f>SUM(I288:I289)</f>
        <v>582.95396249999999</v>
      </c>
      <c r="J287" s="1065">
        <f>SUM(J288:J289)</f>
        <v>30.357843750000001</v>
      </c>
      <c r="K287" s="1065">
        <f>SUM(K288:K289)</f>
        <v>33.341346153846153</v>
      </c>
    </row>
    <row r="288" spans="1:11" s="111" customFormat="1" ht="17.25" customHeight="1">
      <c r="A288" s="1134" t="str">
        <f>L_CViec!A263</f>
        <v>2.1</v>
      </c>
      <c r="B288" s="1135" t="str">
        <f>L_CViec!B263</f>
        <v>Bản đồ địa chính</v>
      </c>
      <c r="C288" s="1111" t="str">
        <f>L_CViec!AB263</f>
        <v>Tờ</v>
      </c>
      <c r="D288" s="1111">
        <f>L_CViec!AA263</f>
        <v>1</v>
      </c>
      <c r="E288" s="1111" t="str">
        <f>L_CViec!AC263</f>
        <v>1KS4</v>
      </c>
      <c r="F288" s="1111" t="str">
        <f>L_CViec!AD263</f>
        <v>1-3</v>
      </c>
      <c r="G288" s="1111">
        <f>L_CViec!AE263</f>
        <v>2.5000000000000001E-2</v>
      </c>
      <c r="H288" s="1117">
        <f>L_CViec!AF263</f>
        <v>370129.5</v>
      </c>
      <c r="I288" s="1117">
        <f>G288*H288/8000*60*2</f>
        <v>138.7985625</v>
      </c>
      <c r="J288" s="1065">
        <f>$D288*G288*L_CBac!$J$68/8000*60</f>
        <v>4.7933437500000009</v>
      </c>
      <c r="K288" s="1065">
        <f>$D288*$G288*L_CBac!$J$69/8000*60</f>
        <v>5.2644230769230775</v>
      </c>
    </row>
    <row r="289" spans="1:19" s="111" customFormat="1" ht="17.25" customHeight="1">
      <c r="A289" s="1134" t="str">
        <f>L_CViec!A264</f>
        <v>2.2</v>
      </c>
      <c r="B289" s="1135" t="str">
        <f>L_CViec!B264</f>
        <v xml:space="preserve">Sao Sổ địa chính, Sổ mục kê </v>
      </c>
      <c r="C289" s="1111" t="str">
        <f>L_CViec!AB264</f>
        <v>Bộ/ đĩa</v>
      </c>
      <c r="D289" s="1111">
        <f>L_CViec!AA264</f>
        <v>1</v>
      </c>
      <c r="E289" s="1111" t="str">
        <f>L_CViec!AC264</f>
        <v>1KS4</v>
      </c>
      <c r="F289" s="1111" t="str">
        <f>L_CViec!AD264</f>
        <v>1-3</v>
      </c>
      <c r="G289" s="1111">
        <f>L_CViec!AE264</f>
        <v>8</v>
      </c>
      <c r="H289" s="1117">
        <f>L_CViec!AF264</f>
        <v>370129.5</v>
      </c>
      <c r="I289" s="1117">
        <f>G289*H289/20000*3</f>
        <v>444.15539999999999</v>
      </c>
      <c r="J289" s="1065">
        <f>$D289*G289*L_CBac!$J$68/8000</f>
        <v>25.564499999999999</v>
      </c>
      <c r="K289" s="1065">
        <f>$D289*$G289*L_CBac!$J$69/8000</f>
        <v>28.076923076923077</v>
      </c>
    </row>
    <row r="290" spans="1:19" s="85" customFormat="1" ht="32.25" customHeight="1">
      <c r="A290" s="1111" t="str">
        <f>L_CViec!A265</f>
        <v>3</v>
      </c>
      <c r="B290" s="1118" t="str">
        <f>L_CViec!B265</f>
        <v>Bàn giao HSĐC cho xã, phường để quản lý và khai thác sử dụng</v>
      </c>
      <c r="C290" s="1111" t="str">
        <f>L_CViec!AB265</f>
        <v>Bộ/xã , phường</v>
      </c>
      <c r="D290" s="1111">
        <f>L_CViec!AA265</f>
        <v>1</v>
      </c>
      <c r="E290" s="1111" t="str">
        <f>L_CViec!AC265</f>
        <v>1KS4</v>
      </c>
      <c r="F290" s="1111" t="str">
        <f>L_CViec!AD265</f>
        <v>1-3</v>
      </c>
      <c r="G290" s="1111">
        <f>L_CViec!AE265</f>
        <v>32</v>
      </c>
      <c r="H290" s="1117">
        <f>L_CViec!AF265</f>
        <v>370129.5</v>
      </c>
      <c r="I290" s="1117">
        <f>G290*H290/20000*2</f>
        <v>1184.4143999999999</v>
      </c>
      <c r="J290" s="1065">
        <f>$D290*G290*L_CBac!$J$68/8000</f>
        <v>102.258</v>
      </c>
      <c r="K290" s="1065">
        <f>$D290*$G290*L_CBac!$J$69/8000</f>
        <v>112.30769230769231</v>
      </c>
    </row>
    <row r="291" spans="1:19" s="85" customFormat="1">
      <c r="A291" s="83" t="str">
        <f>L_CViec!A266</f>
        <v>IV.3</v>
      </c>
      <c r="B291" s="89" t="str">
        <f>L_CViec!B266</f>
        <v>GHI CHÚ</v>
      </c>
      <c r="C291" s="89">
        <f>L_CViec!AB266</f>
        <v>0</v>
      </c>
      <c r="D291" s="89"/>
      <c r="E291" s="89">
        <f>L_CViec!AC266</f>
        <v>0</v>
      </c>
      <c r="F291" s="89">
        <f>L_CViec!AD266</f>
        <v>0</v>
      </c>
      <c r="G291" s="89">
        <f>L_CViec!AE266</f>
        <v>0</v>
      </c>
      <c r="H291" s="1086">
        <f>L_CViec!AF266</f>
        <v>0</v>
      </c>
      <c r="I291" s="176"/>
      <c r="J291" s="1065"/>
      <c r="K291" s="1065"/>
    </row>
    <row r="292" spans="1:19" s="85" customFormat="1" ht="57" customHeight="1">
      <c r="A292" s="84" t="str">
        <f>L_CViec!A267</f>
        <v>1</v>
      </c>
      <c r="B292" s="1420" t="str">
        <f>L_CViec!B267</f>
        <v>Định mức trên đây tính đối với việc đăng ký, cấp đổi GCN về quyền sử dụng đất. Trường hợp đăng ký, cấp đổi GCN đối với cả đất và tài sản gắn liền với đất thì định mức tính cho 1 hồ sơ đăng ký cả đất và tài sản bằng 1,3 lần định mức lao động cho 1 hồ sơ đăng ký đối với đất quy định tại Bảng này. Trường hợp đăng ký cấp đổi GCN riêng đối với tài sản thì định mức tính cho 1 hồ sơ đăng ký cấp đổi GCN đối với tài sản bằng định mức lao động cho 1 hồ sơ đăng ký đối với đất quy định tại Bảng này</v>
      </c>
      <c r="C292" s="1420"/>
      <c r="D292" s="1420"/>
      <c r="E292" s="1420"/>
      <c r="F292" s="1420"/>
      <c r="G292" s="1420"/>
      <c r="H292" s="1420"/>
      <c r="I292" s="1420"/>
      <c r="J292" s="471"/>
      <c r="K292" s="471"/>
    </row>
    <row r="293" spans="1:19" s="85" customFormat="1" ht="44.45" customHeight="1">
      <c r="A293" s="84" t="str">
        <f>L_CViec!A268</f>
        <v>2</v>
      </c>
      <c r="B293" s="1420" t="str">
        <f>L_CViec!B268</f>
        <v>Trường hợp nhiều thửa đất nông nghiệp lập chung trong 1 hồ sơ và cấp chung trong một GCN thì ngoài mức được tính ở trên, mỗi thửa đất tăng thêm được tính mức bằng 0,30 lần định mức quy định đối với Mục 2, 3, 4, 5, 6, 7, 8, 9, 10, 11, 12, 13, 14, 18, 19, 20, 21 và 23 các nội dung thực hiện tại địa bàn phường; Mục 1, 2 và 3 các nội dung thực hiện tại địa bàn cấp tỉnh của Bảng này</v>
      </c>
      <c r="C293" s="1420"/>
      <c r="D293" s="1420"/>
      <c r="E293" s="1420"/>
      <c r="F293" s="1420"/>
      <c r="G293" s="1420"/>
      <c r="H293" s="1420"/>
      <c r="I293" s="1420"/>
      <c r="J293" s="1423"/>
      <c r="K293" s="1423"/>
    </row>
    <row r="294" spans="1:19" s="85" customFormat="1" ht="30" customHeight="1">
      <c r="A294" s="84" t="str">
        <f>L_CViec!A269</f>
        <v>3</v>
      </c>
      <c r="B294" s="1420" t="str">
        <f>L_CViec!B269</f>
        <v>Trường hợp thửa đất đã cấp GCN mà có thay đổi về mục đích sử dụng đất, ranh giới thửa đất thì áp dụng theo định mức quy định tại Bảng này</v>
      </c>
      <c r="C294" s="1420"/>
      <c r="D294" s="1420"/>
      <c r="E294" s="1420"/>
      <c r="F294" s="1420"/>
      <c r="G294" s="1420"/>
      <c r="H294" s="1420"/>
      <c r="I294" s="1420"/>
      <c r="J294" s="1423"/>
      <c r="K294" s="1423"/>
    </row>
    <row r="295" spans="1:19" s="85" customFormat="1" ht="30" customHeight="1">
      <c r="A295" s="84" t="str">
        <f>L_CViec!A270</f>
        <v>4</v>
      </c>
      <c r="B295" s="1420" t="str">
        <f>L_CViec!B270</f>
        <v>Trường hợp thửa đất đã cấp GCN mà có thay đổi về mục đích sử dụng đất, ranh giới thửa đất thì áp dụng theo định mức quy định như đối với trường hợp cấp GCN đồng loạt lần đầu</v>
      </c>
      <c r="C295" s="1420"/>
      <c r="D295" s="1420"/>
      <c r="E295" s="1420"/>
      <c r="F295" s="1420"/>
      <c r="G295" s="1420"/>
      <c r="H295" s="1420"/>
      <c r="I295" s="1420"/>
      <c r="J295" s="1423"/>
      <c r="K295" s="1423"/>
    </row>
    <row r="296" spans="1:19" s="85" customFormat="1" ht="39.75" customHeight="1">
      <c r="A296" s="84" t="str">
        <f>L_CViec!A271</f>
        <v>5</v>
      </c>
      <c r="B296" s="1420" t="str">
        <f>L_CViec!B271</f>
        <v>Trường hợp cấp đổi GCN đối với thửa đất có biến động khác về quyền sử dụng đất, tài sản gắn liền với đất (chuyển quyền sử dụng đất, thay đổi về tài sản gắn liền với đất, v.v...) thì định mức lao động quy định tại các mục 2 7, 8, 9, 10, 11, 12, 13, 14, 18, 19, 20, 21 và 23 các nội dung thực hiện tại địa bàn xã Bảng này được tính bằng 1,5 lần.</v>
      </c>
      <c r="C296" s="1420"/>
      <c r="D296" s="1420"/>
      <c r="E296" s="1420"/>
      <c r="F296" s="1420"/>
      <c r="G296" s="1420"/>
      <c r="H296" s="1420"/>
      <c r="I296" s="1420"/>
      <c r="J296" s="1423"/>
      <c r="K296" s="1423"/>
    </row>
    <row r="297" spans="1:19" s="85" customFormat="1" ht="30" customHeight="1">
      <c r="A297" s="84" t="str">
        <f>L_CViec!A272</f>
        <v>6</v>
      </c>
      <c r="B297" s="1420" t="str">
        <f>L_CViec!B272</f>
        <v>Trường hợp có kê khai đăng ký, nhưng người sử dụng đất không đổi GCN thì định mức được tính bằng 90% định mức quy định đối với trường hợp cấp đổi GCN tại Bảng 9,</v>
      </c>
      <c r="C297" s="1420"/>
      <c r="D297" s="1420"/>
      <c r="E297" s="1420"/>
      <c r="F297" s="1420"/>
      <c r="G297" s="1420"/>
      <c r="H297" s="1420"/>
      <c r="I297" s="1420"/>
      <c r="J297" s="1423"/>
      <c r="K297" s="1423"/>
    </row>
    <row r="298" spans="1:19" s="85" customFormat="1" ht="30" customHeight="1">
      <c r="A298" s="84" t="str">
        <f>L_CViec!A273</f>
        <v>7</v>
      </c>
      <c r="B298" s="1420" t="str">
        <f>L_CViec!B273</f>
        <v>Đơn vị tính tại Bảng này trong trường hợp sử dụng là “Bộ/đĩa”, “Bộ/xã, phường,đặc khu” được tính trung bình cho 20.000 hồ sơ/xã, phường,đặc khu; trong trường hợp sử dụng là “Tờ” được tính trung bình 250 tờ bản đồ/1 xã, phường,đặc khu.</v>
      </c>
      <c r="C298" s="1420"/>
      <c r="D298" s="1420"/>
      <c r="E298" s="1420"/>
      <c r="F298" s="1420"/>
      <c r="G298" s="1420"/>
      <c r="H298" s="1420"/>
      <c r="I298" s="1420"/>
      <c r="J298" s="1423"/>
      <c r="K298" s="1423"/>
    </row>
    <row r="299" spans="1:19" s="85" customFormat="1" ht="30" customHeight="1">
      <c r="A299" s="84" t="str">
        <f>L_CViec!A274</f>
        <v>8</v>
      </c>
      <c r="B299" s="1420" t="str">
        <f>L_CViec!B274</f>
        <v>Đơn vị tính tại Bảng này trong trường hợp sử dụng là “Điểm” được tính trung bình cho 10 điểm/1 xã, phường,đặc khu và “Cuộc” được tính trung bình cho 10 cuộc/1 xã, phường,đặc khu</v>
      </c>
      <c r="C299" s="1420"/>
      <c r="D299" s="1420"/>
      <c r="E299" s="1420"/>
      <c r="F299" s="1420"/>
      <c r="G299" s="1420"/>
      <c r="H299" s="1420"/>
      <c r="I299" s="1420"/>
      <c r="J299" s="1423"/>
      <c r="K299" s="1423"/>
    </row>
    <row r="300" spans="1:19" s="85" customFormat="1">
      <c r="A300" s="84"/>
      <c r="C300" s="84"/>
      <c r="D300" s="84"/>
      <c r="E300" s="84"/>
      <c r="F300" s="84"/>
      <c r="G300" s="84"/>
      <c r="H300" s="176"/>
      <c r="I300" s="176"/>
      <c r="J300" s="176"/>
      <c r="K300" s="176"/>
    </row>
    <row r="301" spans="1:19" s="37" customFormat="1">
      <c r="A301" s="37" t="s">
        <v>342</v>
      </c>
      <c r="B301" s="869"/>
      <c r="C301" s="870"/>
      <c r="D301" s="870"/>
      <c r="E301" s="870"/>
      <c r="F301" s="870"/>
      <c r="G301" s="871"/>
      <c r="H301" s="872"/>
      <c r="I301" s="872"/>
      <c r="J301" s="872"/>
      <c r="K301" s="872"/>
    </row>
    <row r="302" spans="1:19" s="31" customFormat="1" ht="15" customHeight="1">
      <c r="A302" s="1426" t="s">
        <v>24</v>
      </c>
      <c r="B302" s="1101" t="s">
        <v>46</v>
      </c>
      <c r="C302" s="1427" t="s">
        <v>39</v>
      </c>
      <c r="D302" s="1102"/>
      <c r="E302" s="1427" t="s">
        <v>17</v>
      </c>
      <c r="F302" s="1102" t="s">
        <v>98</v>
      </c>
      <c r="G302" s="1429" t="s">
        <v>335</v>
      </c>
      <c r="H302" s="1429"/>
      <c r="I302" s="1429"/>
      <c r="J302" s="1428" t="s">
        <v>351</v>
      </c>
      <c r="K302" s="1429" t="s">
        <v>36</v>
      </c>
      <c r="L302" s="1429"/>
      <c r="M302" s="1429"/>
      <c r="N302" s="1456" t="s">
        <v>355</v>
      </c>
      <c r="O302" s="1456"/>
      <c r="P302" s="1456"/>
      <c r="Q302" s="1447" t="s">
        <v>356</v>
      </c>
      <c r="R302" s="1448"/>
      <c r="S302" s="1448"/>
    </row>
    <row r="303" spans="1:19" s="31" customFormat="1" ht="25.5">
      <c r="A303" s="1426"/>
      <c r="B303" s="1101"/>
      <c r="C303" s="1427"/>
      <c r="D303" s="1102"/>
      <c r="E303" s="1427"/>
      <c r="F303" s="1102" t="s">
        <v>25</v>
      </c>
      <c r="G303" s="1103" t="s">
        <v>359</v>
      </c>
      <c r="H303" s="1103" t="s">
        <v>358</v>
      </c>
      <c r="I303" s="1103" t="s">
        <v>357</v>
      </c>
      <c r="J303" s="1429"/>
      <c r="K303" s="1103" t="s">
        <v>359</v>
      </c>
      <c r="L303" s="1103" t="s">
        <v>358</v>
      </c>
      <c r="M303" s="1103" t="s">
        <v>357</v>
      </c>
      <c r="N303" s="1088" t="s">
        <v>359</v>
      </c>
      <c r="O303" s="1088" t="s">
        <v>358</v>
      </c>
      <c r="P303" s="1089" t="s">
        <v>357</v>
      </c>
      <c r="Q303" s="1069" t="s">
        <v>359</v>
      </c>
      <c r="R303" s="451" t="s">
        <v>358</v>
      </c>
      <c r="S303" s="453" t="s">
        <v>357</v>
      </c>
    </row>
    <row r="304" spans="1:19" s="85" customFormat="1" ht="25.9" customHeight="1">
      <c r="A304" s="520" t="str">
        <f>L_CViec!A276</f>
        <v>V</v>
      </c>
      <c r="B304" s="1425" t="str">
        <f>L_CViec!B276</f>
        <v>Đăng ký, cấp đổi, cấp lại Giấy chứng nhận riêng lẻ đối với hộ gia đình, cá nhân, cộng đồng dân cư, người gốc Việt Nam định cư ở nước ngoài.</v>
      </c>
      <c r="C304" s="1425"/>
      <c r="D304" s="1425"/>
      <c r="E304" s="1425"/>
      <c r="F304" s="1425"/>
      <c r="G304" s="1425"/>
      <c r="H304" s="1425"/>
      <c r="I304" s="1425"/>
      <c r="J304" s="1425"/>
      <c r="K304" s="1093"/>
      <c r="L304" s="1093"/>
      <c r="M304" s="1093"/>
      <c r="N304" s="1090"/>
      <c r="O304" s="1090"/>
      <c r="P304" s="1090"/>
      <c r="Q304" s="1070"/>
      <c r="R304" s="482"/>
      <c r="S304" s="482"/>
    </row>
    <row r="305" spans="1:19" s="85" customFormat="1" ht="27.75" customHeight="1">
      <c r="A305" s="520" t="str">
        <f>L_CViec!A277</f>
        <v>V.1</v>
      </c>
      <c r="B305" s="993" t="str">
        <f>L_CViec!B277</f>
        <v>CÁC NỘI DUNG THỰC HIỆN TẠI ĐỊA BÀN CẤP XÃ,PHƯỜNG,ĐẶC KHU</v>
      </c>
      <c r="C305" s="993">
        <f>L_CViec!AB277</f>
        <v>0</v>
      </c>
      <c r="D305" s="993"/>
      <c r="E305" s="993">
        <f>L_CViec!AC277</f>
        <v>0</v>
      </c>
      <c r="F305" s="993">
        <f>L_CViec!AD277</f>
        <v>0</v>
      </c>
      <c r="G305" s="520"/>
      <c r="H305" s="1093"/>
      <c r="I305" s="1093"/>
      <c r="J305" s="1093">
        <f>L_CViec!AH277</f>
        <v>0</v>
      </c>
      <c r="K305" s="1093">
        <f>SUM(K308,K309,K310,K317,K322,K328,K334,K336,K337,K338,K340,K342,K343,K320,K321,K327,K330,K349,K350,K351)</f>
        <v>947998.35000000009</v>
      </c>
      <c r="L305" s="1093">
        <f t="shared" ref="L305:M305" si="34">SUM(L308,L309,L310,L317,L322,L328,L334,L336,L337,L338,L340,L342,L343,L320,L321,L327,L330,L349,L350,L351)</f>
        <v>883809.22500000009</v>
      </c>
      <c r="M305" s="1093">
        <f t="shared" si="34"/>
        <v>1234782.0225</v>
      </c>
      <c r="N305" s="1090">
        <f t="shared" ref="N305:S305" si="35">SUM(N307,N309,N310,N317,N322,N324,N332,N334,N336,N337,N338,N344,N345,N318,N319,N320,N321,N327,N330,N313,N316)</f>
        <v>61303.671000000009</v>
      </c>
      <c r="O305" s="1090">
        <f t="shared" si="35"/>
        <v>56293.029000000002</v>
      </c>
      <c r="P305" s="1090">
        <f t="shared" si="35"/>
        <v>81218.416500000007</v>
      </c>
      <c r="Q305" s="1071">
        <f t="shared" si="35"/>
        <v>92962.692307692327</v>
      </c>
      <c r="R305" s="166">
        <f t="shared" si="35"/>
        <v>90941.153846153858</v>
      </c>
      <c r="S305" s="166">
        <f t="shared" si="35"/>
        <v>120000.76923076923</v>
      </c>
    </row>
    <row r="306" spans="1:19" s="85" customFormat="1" ht="24" customHeight="1">
      <c r="A306" s="523" t="str">
        <f>L_CViec!A278</f>
        <v>1</v>
      </c>
      <c r="B306" s="522" t="str">
        <f>L_CViec!B278</f>
        <v>Hướng dẫn lập hồ sơ đề nghị đăng ký, cấp đổi, cấp lại GCN</v>
      </c>
      <c r="C306" s="523">
        <f>L_CViec!AB278</f>
        <v>0</v>
      </c>
      <c r="D306" s="523"/>
      <c r="E306" s="523">
        <f>L_CViec!AC278</f>
        <v>0</v>
      </c>
      <c r="F306" s="523">
        <f>L_CViec!AD278</f>
        <v>0</v>
      </c>
      <c r="G306" s="523">
        <f>L_CViec!AE278</f>
        <v>0</v>
      </c>
      <c r="H306" s="879">
        <f>L_CViec!AF278</f>
        <v>0</v>
      </c>
      <c r="I306" s="879">
        <f>L_CViec!AG278</f>
        <v>0</v>
      </c>
      <c r="J306" s="294">
        <f>L_CViec!AH278</f>
        <v>0</v>
      </c>
      <c r="K306" s="294"/>
      <c r="L306" s="294"/>
      <c r="M306" s="294"/>
      <c r="N306" s="1091"/>
      <c r="O306" s="1091"/>
      <c r="P306" s="1091"/>
      <c r="Q306" s="1002"/>
      <c r="R306" s="294"/>
      <c r="S306" s="294"/>
    </row>
    <row r="307" spans="1:19" s="111" customFormat="1">
      <c r="A307" s="523" t="str">
        <f>L_CViec!A279</f>
        <v>1.1</v>
      </c>
      <c r="B307" s="522" t="str">
        <f>L_CViec!B279</f>
        <v>Theo hình thức trực tiếp</v>
      </c>
      <c r="C307" s="523" t="str">
        <f>L_CViec!AB279</f>
        <v>Hồ sơ</v>
      </c>
      <c r="D307" s="523">
        <f>L_CViec!AA279</f>
        <v>1</v>
      </c>
      <c r="E307" s="523" t="str">
        <f>L_CViec!AC279</f>
        <v>1KS2</v>
      </c>
      <c r="F307" s="523" t="str">
        <f>L_CViec!AD279</f>
        <v>1-3</v>
      </c>
      <c r="G307" s="523">
        <f>L_CViec!AE279</f>
        <v>0.15</v>
      </c>
      <c r="H307" s="879">
        <f>L_CViec!AF279</f>
        <v>0.15</v>
      </c>
      <c r="I307" s="879">
        <f>L_CViec!AG279</f>
        <v>0.19500000000000001</v>
      </c>
      <c r="J307" s="294">
        <f>L_CViec!AH279</f>
        <v>296770.5</v>
      </c>
      <c r="K307" s="294">
        <f t="shared" ref="K307:M324" si="36">G307*$J307</f>
        <v>44515.574999999997</v>
      </c>
      <c r="L307" s="294">
        <f t="shared" si="36"/>
        <v>44515.574999999997</v>
      </c>
      <c r="M307" s="294">
        <f t="shared" si="36"/>
        <v>57870.247500000005</v>
      </c>
      <c r="N307" s="1091">
        <f>$D307*G307*L_CBac!$J$68</f>
        <v>3834.6749999999997</v>
      </c>
      <c r="O307" s="1091">
        <f>$D307*H307*L_CBac!$J$68</f>
        <v>3834.6749999999997</v>
      </c>
      <c r="P307" s="1091">
        <f>$D307*I307*L_CBac!$J$68</f>
        <v>4985.0775000000003</v>
      </c>
      <c r="Q307" s="1002">
        <f>$D307*G307*L_CBac!$J$69</f>
        <v>4211.5384615384619</v>
      </c>
      <c r="R307" s="294">
        <f>$D307*H307*L_CBac!$J$69</f>
        <v>4211.5384615384619</v>
      </c>
      <c r="S307" s="294">
        <f>$D307*I307*L_CBac!$J$69</f>
        <v>5475</v>
      </c>
    </row>
    <row r="308" spans="1:19" s="111" customFormat="1" ht="17.25" customHeight="1">
      <c r="A308" s="523" t="str">
        <f>L_CViec!A280</f>
        <v>1.2</v>
      </c>
      <c r="B308" s="522" t="str">
        <f>L_CViec!B280</f>
        <v>Theo hình thức trực tuyến</v>
      </c>
      <c r="C308" s="523" t="str">
        <f>L_CViec!AB280</f>
        <v>Hồ sơ</v>
      </c>
      <c r="D308" s="523">
        <f>L_CViec!AA280</f>
        <v>1</v>
      </c>
      <c r="E308" s="523" t="str">
        <f>L_CViec!AC280</f>
        <v>1KS2</v>
      </c>
      <c r="F308" s="523" t="str">
        <f>L_CViec!AD280</f>
        <v>1-3</v>
      </c>
      <c r="G308" s="523">
        <f>L_CViec!AE280</f>
        <v>0.1</v>
      </c>
      <c r="H308" s="879">
        <f>L_CViec!AF280</f>
        <v>0.1</v>
      </c>
      <c r="I308" s="879">
        <f>L_CViec!AG280</f>
        <v>0.13</v>
      </c>
      <c r="J308" s="294">
        <f>L_CViec!AH280</f>
        <v>296770.5</v>
      </c>
      <c r="K308" s="294">
        <f t="shared" si="36"/>
        <v>29677.050000000003</v>
      </c>
      <c r="L308" s="294">
        <f t="shared" si="36"/>
        <v>29677.050000000003</v>
      </c>
      <c r="M308" s="294">
        <f t="shared" si="36"/>
        <v>38580.165000000001</v>
      </c>
      <c r="N308" s="1091">
        <f>$D308*G308*L_CBac!$J$68</f>
        <v>2556.4500000000003</v>
      </c>
      <c r="O308" s="1091">
        <f>$D308*H308*L_CBac!$J$68</f>
        <v>2556.4500000000003</v>
      </c>
      <c r="P308" s="1091">
        <f>$D308*I308*L_CBac!$J$68</f>
        <v>3323.3850000000002</v>
      </c>
      <c r="Q308" s="1002">
        <f>$D308*G308*L_CBac!$J$69</f>
        <v>2807.6923076923081</v>
      </c>
      <c r="R308" s="294">
        <f>$D308*H308*L_CBac!$J$69</f>
        <v>2807.6923076923081</v>
      </c>
      <c r="S308" s="294">
        <f>$D308*I308*L_CBac!$J$69</f>
        <v>3650.0000000000005</v>
      </c>
    </row>
    <row r="309" spans="1:19" s="85" customFormat="1" ht="38.25">
      <c r="A309" s="523" t="str">
        <f>L_CViec!A281</f>
        <v>2</v>
      </c>
      <c r="B309" s="522" t="str">
        <f>L_CViec!B281</f>
        <v>Nhận, kiểm tra tính đầy đủ của thành phần hồ sơ và cấp Giấy tiếp nhận hồ sơ và hẹn trả kết quả hoặc trả lại hồ sơ, vào sổ theo dõi nhận, trả hồ sơ (theo hình thức trực tiếp, trực tuyến)</v>
      </c>
      <c r="C309" s="523" t="str">
        <f>L_CViec!AB281</f>
        <v>Hồ sơ</v>
      </c>
      <c r="D309" s="523">
        <f>L_CViec!AA281</f>
        <v>1</v>
      </c>
      <c r="E309" s="523" t="str">
        <f>L_CViec!AC281</f>
        <v>1KS2</v>
      </c>
      <c r="F309" s="523" t="str">
        <f>L_CViec!AD281</f>
        <v>1-3</v>
      </c>
      <c r="G309" s="523">
        <f>L_CViec!AE281</f>
        <v>0.2</v>
      </c>
      <c r="H309" s="879">
        <f>L_CViec!AF281</f>
        <v>0.2</v>
      </c>
      <c r="I309" s="879">
        <f>L_CViec!AG281</f>
        <v>0.26</v>
      </c>
      <c r="J309" s="294">
        <f>L_CViec!AH281</f>
        <v>296770.5</v>
      </c>
      <c r="K309" s="294">
        <f t="shared" si="36"/>
        <v>59354.100000000006</v>
      </c>
      <c r="L309" s="294">
        <f t="shared" si="36"/>
        <v>59354.100000000006</v>
      </c>
      <c r="M309" s="294">
        <f t="shared" si="36"/>
        <v>77160.33</v>
      </c>
      <c r="N309" s="1091">
        <f>$D309*G309*L_CBac!$J$68</f>
        <v>5112.9000000000005</v>
      </c>
      <c r="O309" s="1091">
        <f>$D309*H309*L_CBac!$J$68</f>
        <v>5112.9000000000005</v>
      </c>
      <c r="P309" s="1091">
        <f>$D309*I309*L_CBac!$J$68</f>
        <v>6646.77</v>
      </c>
      <c r="Q309" s="1002">
        <f>$D309*G309*L_CBac!$J$69</f>
        <v>5615.3846153846162</v>
      </c>
      <c r="R309" s="294">
        <f>$D309*H309*L_CBac!$J$69</f>
        <v>5615.3846153846162</v>
      </c>
      <c r="S309" s="294">
        <f>$D309*I309*L_CBac!$J$69</f>
        <v>7300.0000000000009</v>
      </c>
    </row>
    <row r="310" spans="1:19" s="85" customFormat="1" ht="25.5">
      <c r="A310" s="523" t="str">
        <f>L_CViec!A282</f>
        <v>3</v>
      </c>
      <c r="B310" s="522" t="str">
        <f>L_CViec!B282</f>
        <v>Tạo tệp (File) dữ liệu hồ sơ số và nhập thông tin do người sử dụng đất kê khai, đăng ký</v>
      </c>
      <c r="C310" s="523" t="str">
        <f>L_CViec!AB282</f>
        <v>Thửa</v>
      </c>
      <c r="D310" s="523">
        <f>L_CViec!AA282</f>
        <v>1</v>
      </c>
      <c r="E310" s="523" t="str">
        <f>L_CViec!AC282</f>
        <v>1KS3</v>
      </c>
      <c r="F310" s="523" t="str">
        <f>L_CViec!AD282</f>
        <v>1-3</v>
      </c>
      <c r="G310" s="523">
        <f>L_CViec!AE282</f>
        <v>0.107</v>
      </c>
      <c r="H310" s="879">
        <f>L_CViec!AF282</f>
        <v>3.3000000000000002E-2</v>
      </c>
      <c r="I310" s="879">
        <f>L_CViec!AG282</f>
        <v>0.16700000000000001</v>
      </c>
      <c r="J310" s="294">
        <f>L_CViec!AH282</f>
        <v>333450</v>
      </c>
      <c r="K310" s="294">
        <f t="shared" si="36"/>
        <v>35679.15</v>
      </c>
      <c r="L310" s="294">
        <f t="shared" si="36"/>
        <v>11003.85</v>
      </c>
      <c r="M310" s="294">
        <f t="shared" si="36"/>
        <v>55686.15</v>
      </c>
      <c r="N310" s="1091">
        <f>$D310*G310*L_CBac!$J$68</f>
        <v>2735.4014999999999</v>
      </c>
      <c r="O310" s="1091">
        <f>$D310*H310*L_CBac!$J$68</f>
        <v>843.62850000000003</v>
      </c>
      <c r="P310" s="1091">
        <f>$D310*I310*L_CBac!$J$68</f>
        <v>4269.2714999999998</v>
      </c>
      <c r="Q310" s="1002">
        <f>$D310*G310*L_CBac!$J$69</f>
        <v>3004.2307692307695</v>
      </c>
      <c r="R310" s="294">
        <f>$D310*H310*L_CBac!$J$69</f>
        <v>926.53846153846166</v>
      </c>
      <c r="S310" s="294">
        <f>$D310*I310*L_CBac!$J$69</f>
        <v>4688.8461538461543</v>
      </c>
    </row>
    <row r="311" spans="1:19" s="471" customFormat="1" ht="25.5">
      <c r="A311" s="523" t="str">
        <f>L_CViec!A283</f>
        <v>4</v>
      </c>
      <c r="B311" s="522" t="str">
        <f>L_CViec!B283</f>
        <v>Quét giấy tờ pháp lý về quyền sử dụng đất, quyền sở hữu nhà ở và tài sản khác gắn liền với đất</v>
      </c>
      <c r="C311" s="523">
        <f>L_CViec!AB283</f>
        <v>0</v>
      </c>
      <c r="D311" s="523">
        <f>L_CViec!AA283</f>
        <v>0</v>
      </c>
      <c r="E311" s="523">
        <f>L_CViec!AC283</f>
        <v>0</v>
      </c>
      <c r="F311" s="523">
        <f>L_CViec!AD283</f>
        <v>0</v>
      </c>
      <c r="G311" s="523">
        <f>L_CViec!AE283</f>
        <v>0</v>
      </c>
      <c r="H311" s="879">
        <f>L_CViec!AF283</f>
        <v>0</v>
      </c>
      <c r="I311" s="879">
        <f>L_CViec!AG283</f>
        <v>0</v>
      </c>
      <c r="J311" s="294">
        <f>L_CViec!AH283</f>
        <v>0</v>
      </c>
      <c r="K311" s="294">
        <f t="shared" si="36"/>
        <v>0</v>
      </c>
      <c r="L311" s="294">
        <f t="shared" si="36"/>
        <v>0</v>
      </c>
      <c r="M311" s="294">
        <f t="shared" si="36"/>
        <v>0</v>
      </c>
      <c r="N311" s="1091">
        <f>$D311*G311*L_CBac!$J$68</f>
        <v>0</v>
      </c>
      <c r="O311" s="1091">
        <f>$D311*H311*L_CBac!$J$68</f>
        <v>0</v>
      </c>
      <c r="P311" s="1091">
        <f>$D311*I311*L_CBac!$J$68</f>
        <v>0</v>
      </c>
      <c r="Q311" s="1075"/>
      <c r="R311" s="903"/>
      <c r="S311" s="903"/>
    </row>
    <row r="312" spans="1:19" s="471" customFormat="1">
      <c r="A312" s="523" t="str">
        <f>L_CViec!A284</f>
        <v>4.1</v>
      </c>
      <c r="B312" s="522" t="str">
        <f>L_CViec!B284</f>
        <v>Quét trang A3</v>
      </c>
      <c r="C312" s="523" t="str">
        <f>L_CViec!AB284</f>
        <v>Trang</v>
      </c>
      <c r="D312" s="523">
        <f>L_CViec!AA284</f>
        <v>1</v>
      </c>
      <c r="E312" s="523" t="str">
        <f>L_CViec!AC284</f>
        <v>1KS1</v>
      </c>
      <c r="F312" s="523" t="str">
        <f>L_CViec!AD284</f>
        <v>1-3</v>
      </c>
      <c r="G312" s="523">
        <f>L_CViec!AE284</f>
        <v>1.6E-2</v>
      </c>
      <c r="H312" s="879">
        <f>L_CViec!AF284</f>
        <v>0.02</v>
      </c>
      <c r="I312" s="879">
        <f>L_CViec!AG284</f>
        <v>2.4E-2</v>
      </c>
      <c r="J312" s="294">
        <f>L_CViec!AH284</f>
        <v>260091</v>
      </c>
      <c r="K312" s="294">
        <f t="shared" si="36"/>
        <v>4161.4560000000001</v>
      </c>
      <c r="L312" s="294">
        <f t="shared" si="36"/>
        <v>5201.82</v>
      </c>
      <c r="M312" s="294">
        <f t="shared" si="36"/>
        <v>6242.1840000000002</v>
      </c>
      <c r="N312" s="1091">
        <f>$D312*G312*L_CBac!$J$68</f>
        <v>409.03199999999998</v>
      </c>
      <c r="O312" s="1091">
        <f>$D312*H312*L_CBac!$J$68</f>
        <v>511.29</v>
      </c>
      <c r="P312" s="1091">
        <f>$D312*I312*L_CBac!$J$68</f>
        <v>613.548</v>
      </c>
      <c r="Q312" s="1075">
        <f>$D312*G312*L_CBac!$J$69</f>
        <v>449.23076923076928</v>
      </c>
      <c r="R312" s="903">
        <f>$D312*H312*L_CBac!$J$69</f>
        <v>561.53846153846155</v>
      </c>
      <c r="S312" s="903">
        <f>$D312*I312*L_CBac!$J$69</f>
        <v>673.84615384615392</v>
      </c>
    </row>
    <row r="313" spans="1:19" s="471" customFormat="1">
      <c r="A313" s="523" t="str">
        <f>L_CViec!A285</f>
        <v>4.2</v>
      </c>
      <c r="B313" s="522" t="str">
        <f>L_CViec!B285</f>
        <v>Quét trang A4</v>
      </c>
      <c r="C313" s="523" t="str">
        <f>L_CViec!AB285</f>
        <v>Trang</v>
      </c>
      <c r="D313" s="523">
        <f>L_CViec!AA285</f>
        <v>1</v>
      </c>
      <c r="E313" s="523" t="str">
        <f>L_CViec!AC285</f>
        <v>1KS1</v>
      </c>
      <c r="F313" s="523" t="str">
        <f>L_CViec!AD285</f>
        <v>1-3</v>
      </c>
      <c r="G313" s="523">
        <f>L_CViec!AE285</f>
        <v>8.0000000000000002E-3</v>
      </c>
      <c r="H313" s="879">
        <f>L_CViec!AF285</f>
        <v>0.01</v>
      </c>
      <c r="I313" s="879">
        <f>L_CViec!AG285</f>
        <v>1.2E-2</v>
      </c>
      <c r="J313" s="294">
        <f>L_CViec!AH285</f>
        <v>260091</v>
      </c>
      <c r="K313" s="294">
        <f t="shared" si="36"/>
        <v>2080.7280000000001</v>
      </c>
      <c r="L313" s="294">
        <f t="shared" si="36"/>
        <v>2600.91</v>
      </c>
      <c r="M313" s="294">
        <f t="shared" si="36"/>
        <v>3121.0920000000001</v>
      </c>
      <c r="N313" s="1091">
        <f>$D313*G313*L_CBac!$J$68</f>
        <v>204.51599999999999</v>
      </c>
      <c r="O313" s="1091">
        <f>$D313*H313*L_CBac!$J$68</f>
        <v>255.64500000000001</v>
      </c>
      <c r="P313" s="1091">
        <f>$D313*I313*L_CBac!$J$68</f>
        <v>306.774</v>
      </c>
      <c r="Q313" s="1075">
        <f>$D313*G313*L_CBac!$J$69</f>
        <v>224.61538461538464</v>
      </c>
      <c r="R313" s="903">
        <f>$D313*H313*L_CBac!$J$69</f>
        <v>280.76923076923077</v>
      </c>
      <c r="S313" s="903">
        <f>$D313*I313*L_CBac!$J$69</f>
        <v>336.92307692307696</v>
      </c>
    </row>
    <row r="314" spans="1:19" s="471" customFormat="1" ht="25.5">
      <c r="A314" s="523" t="str">
        <f>L_CViec!A286</f>
        <v>5</v>
      </c>
      <c r="B314" s="522" t="str">
        <f>L_CViec!B286</f>
        <v>Xử lý các tệp tin quét thành tệp (File) hồ sơ quét dạng số của thửa đất, lưu trữ dưới khuôn dạng tệp tin PDF</v>
      </c>
      <c r="C314" s="523" t="str">
        <f>L_CViec!AB286</f>
        <v>Trang</v>
      </c>
      <c r="D314" s="523">
        <f>L_CViec!AA286</f>
        <v>1</v>
      </c>
      <c r="E314" s="523" t="str">
        <f>L_CViec!AC286</f>
        <v>1KS1</v>
      </c>
      <c r="F314" s="523" t="str">
        <f>L_CViec!AD286</f>
        <v>1-3</v>
      </c>
      <c r="G314" s="523">
        <f>L_CViec!AE286</f>
        <v>4.0000000000000001E-3</v>
      </c>
      <c r="H314" s="879">
        <f>L_CViec!AF286</f>
        <v>5.0000000000000001E-3</v>
      </c>
      <c r="I314" s="879">
        <f>L_CViec!AG286</f>
        <v>6.0000000000000001E-3</v>
      </c>
      <c r="J314" s="294">
        <f>L_CViec!AH286</f>
        <v>260091</v>
      </c>
      <c r="K314" s="294">
        <f t="shared" si="36"/>
        <v>1040.364</v>
      </c>
      <c r="L314" s="294">
        <f t="shared" si="36"/>
        <v>1300.4549999999999</v>
      </c>
      <c r="M314" s="294">
        <f t="shared" si="36"/>
        <v>1560.546</v>
      </c>
      <c r="N314" s="1091">
        <f>$D314*G314*L_CBac!$J$68</f>
        <v>102.258</v>
      </c>
      <c r="O314" s="1091">
        <f>$D314*H314*L_CBac!$J$68</f>
        <v>127.82250000000001</v>
      </c>
      <c r="P314" s="1091">
        <f>$D314*I314*L_CBac!$J$68</f>
        <v>153.387</v>
      </c>
      <c r="Q314" s="1075"/>
      <c r="R314" s="903"/>
      <c r="S314" s="903"/>
    </row>
    <row r="315" spans="1:19" s="471" customFormat="1">
      <c r="A315" s="523">
        <f>L_CViec!A287</f>
        <v>6</v>
      </c>
      <c r="B315" s="522" t="str">
        <f>L_CViec!B287</f>
        <v>Chuyển hồ sơ đến Văn phòng đăng ký đất đai</v>
      </c>
      <c r="C315" s="523">
        <f>L_CViec!AB287</f>
        <v>0</v>
      </c>
      <c r="D315" s="523">
        <f>L_CViec!AA287</f>
        <v>0</v>
      </c>
      <c r="E315" s="523">
        <f>L_CViec!AC287</f>
        <v>0</v>
      </c>
      <c r="F315" s="523">
        <f>L_CViec!AD287</f>
        <v>0</v>
      </c>
      <c r="G315" s="523">
        <f>L_CViec!AE287</f>
        <v>0</v>
      </c>
      <c r="H315" s="879">
        <f>L_CViec!AF287</f>
        <v>0</v>
      </c>
      <c r="I315" s="879">
        <f>L_CViec!AG287</f>
        <v>0</v>
      </c>
      <c r="J315" s="294">
        <f>L_CViec!AH287</f>
        <v>0</v>
      </c>
      <c r="K315" s="294">
        <f t="shared" si="36"/>
        <v>0</v>
      </c>
      <c r="L315" s="294">
        <f t="shared" si="36"/>
        <v>0</v>
      </c>
      <c r="M315" s="294">
        <f t="shared" si="36"/>
        <v>0</v>
      </c>
      <c r="N315" s="1091">
        <f>$D315*G315*L_CBac!$J$68</f>
        <v>0</v>
      </c>
      <c r="O315" s="1091">
        <f>$D315*H315*L_CBac!$J$68</f>
        <v>0</v>
      </c>
      <c r="P315" s="1091">
        <f>$D315*I315*L_CBac!$J$68</f>
        <v>0</v>
      </c>
      <c r="Q315" s="1075">
        <f>$D315*G315*L_CBac!$J$69</f>
        <v>0</v>
      </c>
      <c r="R315" s="903">
        <f>$D315*H315*L_CBac!$J$69</f>
        <v>0</v>
      </c>
      <c r="S315" s="903">
        <f>$D315*I315*L_CBac!$J$69</f>
        <v>0</v>
      </c>
    </row>
    <row r="316" spans="1:19" s="471" customFormat="1">
      <c r="A316" s="523">
        <f>L_CViec!A288</f>
        <v>6.1</v>
      </c>
      <c r="B316" s="522" t="str">
        <f>L_CViec!B288</f>
        <v>Theo hình thức trực tiếp</v>
      </c>
      <c r="C316" s="523" t="str">
        <f>L_CViec!AB288</f>
        <v>Hồ sơ</v>
      </c>
      <c r="D316" s="523">
        <f>L_CViec!AA288</f>
        <v>1</v>
      </c>
      <c r="E316" s="523" t="str">
        <f>L_CViec!AC288</f>
        <v>1KS2</v>
      </c>
      <c r="F316" s="523" t="str">
        <f>L_CViec!AD288</f>
        <v>1-3</v>
      </c>
      <c r="G316" s="523">
        <f>L_CViec!AE288</f>
        <v>0.05</v>
      </c>
      <c r="H316" s="879">
        <f>L_CViec!AF288</f>
        <v>0.05</v>
      </c>
      <c r="I316" s="879">
        <f>L_CViec!AG288</f>
        <v>0.05</v>
      </c>
      <c r="J316" s="294">
        <f>L_CViec!AH288</f>
        <v>296770.5</v>
      </c>
      <c r="K316" s="294">
        <f t="shared" si="36"/>
        <v>14838.525000000001</v>
      </c>
      <c r="L316" s="294">
        <f t="shared" si="36"/>
        <v>14838.525000000001</v>
      </c>
      <c r="M316" s="294">
        <f t="shared" si="36"/>
        <v>14838.525000000001</v>
      </c>
      <c r="N316" s="1091">
        <f>$D316*G316*L_CBac!$J$68</f>
        <v>1278.2250000000001</v>
      </c>
      <c r="O316" s="1091">
        <f>$D316*H316*L_CBac!$J$68</f>
        <v>1278.2250000000001</v>
      </c>
      <c r="P316" s="1091">
        <f>$D316*I316*L_CBac!$J$68</f>
        <v>1278.2250000000001</v>
      </c>
      <c r="Q316" s="1075">
        <f>$D316*G316*L_CBac!$J$69</f>
        <v>1403.846153846154</v>
      </c>
      <c r="R316" s="903">
        <f>$D316*H316*L_CBac!$J$69</f>
        <v>1403.846153846154</v>
      </c>
      <c r="S316" s="903">
        <f>$D316*I316*L_CBac!$J$69</f>
        <v>1403.846153846154</v>
      </c>
    </row>
    <row r="317" spans="1:19" s="85" customFormat="1" ht="28.5" customHeight="1">
      <c r="A317" s="523">
        <f>L_CViec!A289</f>
        <v>6.2</v>
      </c>
      <c r="B317" s="522" t="str">
        <f>L_CViec!B289</f>
        <v>Theo hình thức trực tuyến</v>
      </c>
      <c r="C317" s="523" t="str">
        <f>L_CViec!AB289</f>
        <v>Hồ sơ</v>
      </c>
      <c r="D317" s="523">
        <f>L_CViec!AA289</f>
        <v>1</v>
      </c>
      <c r="E317" s="523" t="str">
        <f>L_CViec!AC289</f>
        <v>1KS2</v>
      </c>
      <c r="F317" s="523" t="str">
        <f>L_CViec!AD289</f>
        <v>1-3</v>
      </c>
      <c r="G317" s="523">
        <f>L_CViec!AE289</f>
        <v>0.04</v>
      </c>
      <c r="H317" s="879">
        <f>L_CViec!AF289</f>
        <v>0.04</v>
      </c>
      <c r="I317" s="879">
        <f>L_CViec!AG289</f>
        <v>0.04</v>
      </c>
      <c r="J317" s="294">
        <f>L_CViec!AH289</f>
        <v>296770.5</v>
      </c>
      <c r="K317" s="294">
        <f t="shared" si="36"/>
        <v>11870.82</v>
      </c>
      <c r="L317" s="294">
        <f t="shared" si="36"/>
        <v>11870.82</v>
      </c>
      <c r="M317" s="294">
        <f t="shared" si="36"/>
        <v>11870.82</v>
      </c>
      <c r="N317" s="1091">
        <f>$D317*G317*L_CBac!$J$68</f>
        <v>1022.58</v>
      </c>
      <c r="O317" s="1091">
        <f>$D317*H317*L_CBac!$J$68</f>
        <v>1022.58</v>
      </c>
      <c r="P317" s="1091">
        <f>$D317*I317*L_CBac!$J$68</f>
        <v>1022.58</v>
      </c>
      <c r="Q317" s="1002">
        <f>$D317*G317*L_CBac!$J$69</f>
        <v>1123.0769230769231</v>
      </c>
      <c r="R317" s="294">
        <f>$D317*H317*L_CBac!$J$69</f>
        <v>1123.0769230769231</v>
      </c>
      <c r="S317" s="294">
        <f>$D317*I317*L_CBac!$J$69</f>
        <v>1123.0769230769231</v>
      </c>
    </row>
    <row r="318" spans="1:19" s="471" customFormat="1" ht="25.5">
      <c r="A318" s="523" t="str">
        <f>L_CViec!A290</f>
        <v>7</v>
      </c>
      <c r="B318" s="522" t="str">
        <f>L_CViec!B290</f>
        <v>Kiểm tra hồ sơ đề nghị đăng ký, cấp đổi, cấp lại Giấy chứng nhận</v>
      </c>
      <c r="C318" s="523">
        <f>L_CViec!AB290</f>
        <v>0</v>
      </c>
      <c r="D318" s="523">
        <f>L_CViec!AA290</f>
        <v>0</v>
      </c>
      <c r="E318" s="523">
        <f>L_CViec!AC290</f>
        <v>0</v>
      </c>
      <c r="F318" s="523">
        <f>L_CViec!AD290</f>
        <v>0</v>
      </c>
      <c r="G318" s="523">
        <f>L_CViec!AE290</f>
        <v>0</v>
      </c>
      <c r="H318" s="879">
        <f>L_CViec!AF290</f>
        <v>0</v>
      </c>
      <c r="I318" s="879">
        <f>L_CViec!AG290</f>
        <v>0</v>
      </c>
      <c r="J318" s="294">
        <f>L_CViec!AH290</f>
        <v>0</v>
      </c>
      <c r="K318" s="294">
        <f t="shared" si="36"/>
        <v>0</v>
      </c>
      <c r="L318" s="294">
        <f t="shared" si="36"/>
        <v>0</v>
      </c>
      <c r="M318" s="294">
        <f t="shared" si="36"/>
        <v>0</v>
      </c>
      <c r="N318" s="1091">
        <f>$D318*G318*L_CBac!$J$68</f>
        <v>0</v>
      </c>
      <c r="O318" s="1091">
        <f>$D318*H318*L_CBac!$J$68</f>
        <v>0</v>
      </c>
      <c r="P318" s="1091">
        <f>$D318*I318*L_CBac!$J$68</f>
        <v>0</v>
      </c>
      <c r="Q318" s="1075">
        <f>$D318*G318*L_CBac!$J$69</f>
        <v>0</v>
      </c>
      <c r="R318" s="903">
        <f>$D318*H318*L_CBac!$J$69</f>
        <v>0</v>
      </c>
      <c r="S318" s="903">
        <f>$D318*I318*L_CBac!$J$69</f>
        <v>0</v>
      </c>
    </row>
    <row r="319" spans="1:19" s="471" customFormat="1">
      <c r="A319" s="523" t="str">
        <f>L_CViec!A291</f>
        <v>7.1</v>
      </c>
      <c r="B319" s="522" t="str">
        <f>L_CViec!B291</f>
        <v>Trường hợp cấp đổi Giấy chứng nhận</v>
      </c>
      <c r="C319" s="523">
        <f>L_CViec!AB291</f>
        <v>0</v>
      </c>
      <c r="D319" s="523">
        <f>L_CViec!AA291</f>
        <v>0</v>
      </c>
      <c r="E319" s="523">
        <f>L_CViec!AC291</f>
        <v>0</v>
      </c>
      <c r="F319" s="523">
        <f>L_CViec!AD291</f>
        <v>0</v>
      </c>
      <c r="G319" s="523">
        <f>L_CViec!AE291</f>
        <v>0</v>
      </c>
      <c r="H319" s="879">
        <f>L_CViec!AF291</f>
        <v>0</v>
      </c>
      <c r="I319" s="879">
        <f>L_CViec!AG291</f>
        <v>0</v>
      </c>
      <c r="J319" s="294">
        <f>L_CViec!AH291</f>
        <v>0</v>
      </c>
      <c r="K319" s="294">
        <f t="shared" si="36"/>
        <v>0</v>
      </c>
      <c r="L319" s="294">
        <f t="shared" si="36"/>
        <v>0</v>
      </c>
      <c r="M319" s="294">
        <f t="shared" si="36"/>
        <v>0</v>
      </c>
      <c r="N319" s="1091">
        <f>$D319*G319*L_CBac!$J$68</f>
        <v>0</v>
      </c>
      <c r="O319" s="1091">
        <f>$D319*H319*L_CBac!$J$68</f>
        <v>0</v>
      </c>
      <c r="P319" s="1091">
        <f>$D319*I319*L_CBac!$J$68</f>
        <v>0</v>
      </c>
      <c r="Q319" s="1075">
        <f>$D319*G319*L_CBac!$J$69</f>
        <v>0</v>
      </c>
      <c r="R319" s="903">
        <f>$D319*H319*L_CBac!$J$69</f>
        <v>0</v>
      </c>
      <c r="S319" s="903">
        <f>$D319*I319*L_CBac!$J$69</f>
        <v>0</v>
      </c>
    </row>
    <row r="320" spans="1:19" s="471" customFormat="1" ht="63.75">
      <c r="A320" s="523" t="str">
        <f>L_CViec!A292</f>
        <v>7.1.1</v>
      </c>
      <c r="B320" s="522" t="str">
        <f>L_CViec!B292</f>
        <v>Khai thác, sử dụng thông tin về tình trạng hôn nhân trong Cơ sở dữ liệu quốc gia về dân cư hoặc thông báo cho người sử dụng đất, chủ sở hữu tài sản gắn liền với đất nộp bản sao giấy đăng ký kết hôn hoặc giấy tờ khác về tình trạng hôn nhân</v>
      </c>
      <c r="C320" s="523" t="str">
        <f>L_CViec!AB292</f>
        <v>Hồ sơ</v>
      </c>
      <c r="D320" s="523">
        <f>L_CViec!AA292</f>
        <v>1</v>
      </c>
      <c r="E320" s="523" t="str">
        <f>L_CViec!AC292</f>
        <v>1KS3</v>
      </c>
      <c r="F320" s="523" t="str">
        <f>L_CViec!AD292</f>
        <v>1-3</v>
      </c>
      <c r="G320" s="523">
        <f>L_CViec!AE292</f>
        <v>0.1</v>
      </c>
      <c r="H320" s="879">
        <f>L_CViec!AF292</f>
        <v>0.1</v>
      </c>
      <c r="I320" s="879">
        <f>L_CViec!AG292</f>
        <v>0.1</v>
      </c>
      <c r="J320" s="294">
        <f>L_CViec!AH292</f>
        <v>333450</v>
      </c>
      <c r="K320" s="294">
        <f t="shared" si="36"/>
        <v>33345</v>
      </c>
      <c r="L320" s="294">
        <f t="shared" si="36"/>
        <v>33345</v>
      </c>
      <c r="M320" s="294">
        <f t="shared" si="36"/>
        <v>33345</v>
      </c>
      <c r="N320" s="1091">
        <f>$D320*G320*L_CBac!$J$68</f>
        <v>2556.4500000000003</v>
      </c>
      <c r="O320" s="1091">
        <f>$D320*H320*L_CBac!$J$68</f>
        <v>2556.4500000000003</v>
      </c>
      <c r="P320" s="1091">
        <f>$D320*I320*L_CBac!$J$68</f>
        <v>2556.4500000000003</v>
      </c>
      <c r="Q320" s="1075">
        <f>$D320*G320*L_CBac!$J$69</f>
        <v>2807.6923076923081</v>
      </c>
      <c r="R320" s="903">
        <f>$D320*H320*L_CBac!$J$69</f>
        <v>2807.6923076923081</v>
      </c>
      <c r="S320" s="903">
        <f>$D320*I320*L_CBac!$J$69</f>
        <v>2807.6923076923081</v>
      </c>
    </row>
    <row r="321" spans="1:19" s="471" customFormat="1" ht="51">
      <c r="A321" s="523" t="str">
        <f>L_CViec!A293</f>
        <v>7.1.2</v>
      </c>
      <c r="B321" s="522" t="str">
        <f>L_CViec!B293</f>
        <v>Kiểm tra thực địa và đối chiếu với hồ sơ đăng ký, cấp Giấy chứng nhận đã cấp để xác định đúng vị trí thửa đất (đối với trường hợp vị trí thửa đất trên Giấy chứng nhận đã cấp không chính xác so với vị trí thực tế sử dụng đất)</v>
      </c>
      <c r="C321" s="523" t="str">
        <f>L_CViec!AB293</f>
        <v>Hồ sơ</v>
      </c>
      <c r="D321" s="523">
        <f>L_CViec!AA293</f>
        <v>2</v>
      </c>
      <c r="E321" s="523" t="str">
        <f>L_CViec!AC293</f>
        <v>Nhóm 2 (1KS2, 1KTV4)</v>
      </c>
      <c r="F321" s="523" t="str">
        <f>L_CViec!AD293</f>
        <v>1-3</v>
      </c>
      <c r="G321" s="523">
        <f>L_CViec!AE293</f>
        <v>0.5</v>
      </c>
      <c r="H321" s="879">
        <f>L_CViec!AF293</f>
        <v>0.5</v>
      </c>
      <c r="I321" s="879">
        <f>L_CViec!AG293</f>
        <v>0.7</v>
      </c>
      <c r="J321" s="294">
        <f>L_CViec!AH293</f>
        <v>570199.5</v>
      </c>
      <c r="K321" s="294">
        <f t="shared" si="36"/>
        <v>285099.75</v>
      </c>
      <c r="L321" s="294">
        <f t="shared" si="36"/>
        <v>285099.75</v>
      </c>
      <c r="M321" s="294">
        <f t="shared" si="36"/>
        <v>399139.64999999997</v>
      </c>
      <c r="N321" s="1091">
        <f>$D321*G321*L_CBac!$J$68</f>
        <v>25564.5</v>
      </c>
      <c r="O321" s="1091">
        <f>$D321*H321*L_CBac!$J$68</f>
        <v>25564.5</v>
      </c>
      <c r="P321" s="1091">
        <f>$D321*I321*L_CBac!$J$68</f>
        <v>35790.299999999996</v>
      </c>
      <c r="Q321" s="1075">
        <f>$D321*G321*L_CBac!$J$69</f>
        <v>28076.923076923078</v>
      </c>
      <c r="R321" s="903">
        <f>$D321*H321*L_CBac!$J$69</f>
        <v>28076.923076923078</v>
      </c>
      <c r="S321" s="903">
        <f>$D321*I321*L_CBac!$J$69</f>
        <v>39307.692307692305</v>
      </c>
    </row>
    <row r="322" spans="1:19" s="85" customFormat="1">
      <c r="A322" s="523">
        <f>L_CViec!A294</f>
        <v>7.2</v>
      </c>
      <c r="B322" s="522" t="str">
        <f>L_CViec!B294</f>
        <v>Trường hợp cấp lại Giấy chứng nhận</v>
      </c>
      <c r="C322" s="523">
        <f>L_CViec!AB294</f>
        <v>0</v>
      </c>
      <c r="D322" s="523">
        <f>L_CViec!AA294</f>
        <v>0</v>
      </c>
      <c r="E322" s="523">
        <f>L_CViec!AC294</f>
        <v>0</v>
      </c>
      <c r="F322" s="523">
        <f>L_CViec!AD294</f>
        <v>0</v>
      </c>
      <c r="G322" s="523">
        <f>L_CViec!AE294</f>
        <v>0</v>
      </c>
      <c r="H322" s="879">
        <f>L_CViec!AF294</f>
        <v>0</v>
      </c>
      <c r="I322" s="879">
        <f>L_CViec!AG294</f>
        <v>0</v>
      </c>
      <c r="J322" s="294">
        <f>L_CViec!AH294</f>
        <v>0</v>
      </c>
      <c r="K322" s="294">
        <f t="shared" si="36"/>
        <v>0</v>
      </c>
      <c r="L322" s="294">
        <f t="shared" si="36"/>
        <v>0</v>
      </c>
      <c r="M322" s="294">
        <f t="shared" si="36"/>
        <v>0</v>
      </c>
      <c r="N322" s="1091">
        <f>$D322*G322*L_CBac!$J$68</f>
        <v>0</v>
      </c>
      <c r="O322" s="1091">
        <f>$D322*H322*L_CBac!$J$68</f>
        <v>0</v>
      </c>
      <c r="P322" s="1091">
        <f>$D322*I322*L_CBac!$J$68</f>
        <v>0</v>
      </c>
      <c r="Q322" s="1002">
        <f>$D322*G322*L_CBac!$J$69</f>
        <v>0</v>
      </c>
      <c r="R322" s="294">
        <f>$D322*H322*L_CBac!$J$69</f>
        <v>0</v>
      </c>
      <c r="S322" s="294">
        <f>$D322*I322*L_CBac!$J$69</f>
        <v>0</v>
      </c>
    </row>
    <row r="323" spans="1:19" s="85" customFormat="1" ht="38.25">
      <c r="A323" s="523" t="str">
        <f>L_CViec!A295</f>
        <v>7.2.1</v>
      </c>
      <c r="B323" s="522" t="str">
        <f>L_CViec!B295</f>
        <v>Thông báo, trả lại hồ sơ cho người sử dụng đất, chủ sở hữu tài sản gắn liền với đất đối với trường hợp không đủ điều kiện thực hiện thủ tục đăng ký</v>
      </c>
      <c r="C323" s="523" t="str">
        <f>L_CViec!AB295</f>
        <v>Hồ sơ</v>
      </c>
      <c r="D323" s="523">
        <f>L_CViec!AA295</f>
        <v>1</v>
      </c>
      <c r="E323" s="523" t="str">
        <f>L_CViec!AC295</f>
        <v>1KS3</v>
      </c>
      <c r="F323" s="523" t="str">
        <f>L_CViec!AD295</f>
        <v>1-3</v>
      </c>
      <c r="G323" s="523">
        <f>L_CViec!AE295</f>
        <v>0.5</v>
      </c>
      <c r="H323" s="879">
        <f>L_CViec!AF295</f>
        <v>0.5</v>
      </c>
      <c r="I323" s="879">
        <f>L_CViec!AG295</f>
        <v>0.65</v>
      </c>
      <c r="J323" s="294">
        <f>L_CViec!AH295</f>
        <v>333450</v>
      </c>
      <c r="K323" s="294">
        <f t="shared" ref="K323:M351" si="37">G323*$J323</f>
        <v>166725</v>
      </c>
      <c r="L323" s="294">
        <f t="shared" si="37"/>
        <v>166725</v>
      </c>
      <c r="M323" s="294">
        <f t="shared" si="36"/>
        <v>216742.5</v>
      </c>
      <c r="N323" s="1091">
        <f>$D323*G323*L_CBac!$J$68</f>
        <v>12782.25</v>
      </c>
      <c r="O323" s="1091">
        <f>$D323*H323*L_CBac!$J$68</f>
        <v>12782.25</v>
      </c>
      <c r="P323" s="1091">
        <f>$D323*I323*L_CBac!$J$68</f>
        <v>16616.924999999999</v>
      </c>
      <c r="Q323" s="1002"/>
      <c r="R323" s="294"/>
      <c r="S323" s="294"/>
    </row>
    <row r="324" spans="1:19" s="111" customFormat="1" ht="38.25">
      <c r="A324" s="523" t="str">
        <f>L_CViec!A296</f>
        <v>7.2.2</v>
      </c>
      <c r="B324" s="522" t="str">
        <f>L_CViec!B296</f>
        <v>Chuyển thông tin đến Ủy ban nhân dân cấp xã, phường,đặc khu nơi có đất để thực hiện các công việc đối với trường hợp cấp lại Giấy chứng nhận do bị mất</v>
      </c>
      <c r="C324" s="523" t="str">
        <f>L_CViec!AB296</f>
        <v>Hồ sơ</v>
      </c>
      <c r="D324" s="523">
        <f>L_CViec!AA296</f>
        <v>1</v>
      </c>
      <c r="E324" s="523" t="str">
        <f>L_CViec!AC296</f>
        <v>1KS2</v>
      </c>
      <c r="F324" s="523" t="str">
        <f>L_CViec!AD296</f>
        <v>1-3</v>
      </c>
      <c r="G324" s="523">
        <f>L_CViec!AE296</f>
        <v>0.15</v>
      </c>
      <c r="H324" s="879">
        <f>L_CViec!AF296</f>
        <v>0.15</v>
      </c>
      <c r="I324" s="879">
        <f>L_CViec!AG296</f>
        <v>0.19500000000000001</v>
      </c>
      <c r="J324" s="294">
        <f>L_CViec!AH296</f>
        <v>296770.5</v>
      </c>
      <c r="K324" s="294">
        <f t="shared" si="37"/>
        <v>44515.574999999997</v>
      </c>
      <c r="L324" s="294">
        <f t="shared" si="36"/>
        <v>44515.574999999997</v>
      </c>
      <c r="M324" s="294">
        <f t="shared" si="36"/>
        <v>57870.247500000005</v>
      </c>
      <c r="N324" s="1091">
        <f>$D324*G324*L_CBac!$J$68</f>
        <v>3834.6749999999997</v>
      </c>
      <c r="O324" s="1091">
        <f>$D324*H324*L_CBac!$J$68</f>
        <v>3834.6749999999997</v>
      </c>
      <c r="P324" s="1091">
        <f>$D324*I324*L_CBac!$J$68</f>
        <v>4985.0775000000003</v>
      </c>
      <c r="Q324" s="1002">
        <f>$D324*G324*L_CBac!$J$69</f>
        <v>4211.5384615384619</v>
      </c>
      <c r="R324" s="294">
        <f>$D324*H324*L_CBac!$J$69</f>
        <v>4211.5384615384619</v>
      </c>
      <c r="S324" s="294">
        <f>$D324*I324*L_CBac!$J$69</f>
        <v>5475</v>
      </c>
    </row>
    <row r="325" spans="1:19" s="111" customFormat="1" ht="51">
      <c r="A325" s="523">
        <f>L_CViec!A297</f>
        <v>8</v>
      </c>
      <c r="B325" s="522" t="str">
        <f>L_CViec!B297</f>
        <v>Niêm yết công khai về việc mất Giấy chứng nhận đã cấp tại trụ sở Ủy ban nhân dân cấp xã, phường,đặc khu và điểm dân cư nơi có đất; đồng thời tiếp nhận phản ánh trong thời gian niêm yết công khai về việc mất Giấy chứng nhận đã cấp</v>
      </c>
      <c r="C325" s="523" t="str">
        <f>L_CViec!AB297</f>
        <v>Hồ sơ</v>
      </c>
      <c r="D325" s="523">
        <f>L_CViec!AA297</f>
        <v>1</v>
      </c>
      <c r="E325" s="523" t="str">
        <f>L_CViec!AC297</f>
        <v>1KTV4</v>
      </c>
      <c r="F325" s="523" t="str">
        <f>L_CViec!AD297</f>
        <v>1-3</v>
      </c>
      <c r="G325" s="523">
        <f>L_CViec!AE297</f>
        <v>0.06</v>
      </c>
      <c r="H325" s="879">
        <f>L_CViec!AF297</f>
        <v>0.06</v>
      </c>
      <c r="I325" s="879">
        <f>L_CViec!AG297</f>
        <v>7.8E-2</v>
      </c>
      <c r="J325" s="294">
        <f>L_CViec!AH297</f>
        <v>273429.00000000006</v>
      </c>
      <c r="K325" s="294">
        <f t="shared" si="37"/>
        <v>16405.740000000002</v>
      </c>
      <c r="L325" s="294">
        <f t="shared" si="37"/>
        <v>16405.740000000002</v>
      </c>
      <c r="M325" s="294">
        <f t="shared" si="37"/>
        <v>21327.462000000003</v>
      </c>
      <c r="N325" s="1091">
        <f>$D325*G325*L_CBac!$J$68</f>
        <v>1533.87</v>
      </c>
      <c r="O325" s="1091">
        <f>$D325*H325*L_CBac!$J$68</f>
        <v>1533.87</v>
      </c>
      <c r="P325" s="1091">
        <f>$D325*I325*L_CBac!$J$68</f>
        <v>1994.0309999999999</v>
      </c>
      <c r="Q325" s="1002">
        <f>$D325*G325*L_CBac!$J$69</f>
        <v>1684.6153846153845</v>
      </c>
      <c r="R325" s="294">
        <f>$D325*H325*L_CBac!$J$69</f>
        <v>1684.6153846153845</v>
      </c>
      <c r="S325" s="294">
        <f>$D325*I325*L_CBac!$J$69</f>
        <v>2190</v>
      </c>
    </row>
    <row r="326" spans="1:19" s="902" customFormat="1" ht="25.5">
      <c r="A326" s="523">
        <f>L_CViec!A298</f>
        <v>9</v>
      </c>
      <c r="B326" s="522" t="str">
        <f>L_CViec!B298</f>
        <v>Lập biên bản kết thúc niêm yết và gửi đến Văn phòng đăng ký đất đai</v>
      </c>
      <c r="C326" s="523" t="str">
        <f>L_CViec!AB298</f>
        <v>Hồ sơ</v>
      </c>
      <c r="D326" s="523">
        <f>L_CViec!AA298</f>
        <v>1</v>
      </c>
      <c r="E326" s="523" t="str">
        <f>L_CViec!AC298</f>
        <v>1KS3</v>
      </c>
      <c r="F326" s="523" t="str">
        <f>L_CViec!AD298</f>
        <v>1-3</v>
      </c>
      <c r="G326" s="523">
        <f>L_CViec!AE298</f>
        <v>0.5</v>
      </c>
      <c r="H326" s="879">
        <f>L_CViec!AF298</f>
        <v>0.5</v>
      </c>
      <c r="I326" s="879">
        <f>L_CViec!AG298</f>
        <v>0.65</v>
      </c>
      <c r="J326" s="294">
        <f>L_CViec!AH298</f>
        <v>333450</v>
      </c>
      <c r="K326" s="294">
        <f t="shared" si="37"/>
        <v>166725</v>
      </c>
      <c r="L326" s="294">
        <f t="shared" si="37"/>
        <v>166725</v>
      </c>
      <c r="M326" s="294">
        <f t="shared" si="37"/>
        <v>216742.5</v>
      </c>
      <c r="N326" s="1091">
        <f>$D326*G326*L_CBac!$J$68</f>
        <v>12782.25</v>
      </c>
      <c r="O326" s="1091">
        <f>$D326*H326*L_CBac!$J$68</f>
        <v>12782.25</v>
      </c>
      <c r="P326" s="1091">
        <f>$D326*I326*L_CBac!$J$68</f>
        <v>16616.924999999999</v>
      </c>
      <c r="Q326" s="1075"/>
      <c r="R326" s="903"/>
      <c r="S326" s="903"/>
    </row>
    <row r="327" spans="1:19" s="902" customFormat="1" ht="63.75">
      <c r="A327" s="523">
        <f>L_CViec!A299</f>
        <v>10</v>
      </c>
      <c r="B327" s="522" t="str">
        <f>L_CViec!B299</f>
        <v>Đăng tin 03 lần trên phương tiện thông tin đại chúng ở địa phương trong thời gian 15 ngày về việc mất Giấy chứng nhận đã cấp đối với người gốc Việt Nam định cư ở nước ngoài, chi phí đăng tin do người sử dụng đất, chủ sở hữu tài sản gắn liền với đất chi trả</v>
      </c>
      <c r="C327" s="523" t="str">
        <f>L_CViec!AB299</f>
        <v>Hồ sơ</v>
      </c>
      <c r="D327" s="523">
        <f>L_CViec!AA299</f>
        <v>1</v>
      </c>
      <c r="E327" s="523" t="str">
        <f>L_CViec!AC299</f>
        <v>1KS2</v>
      </c>
      <c r="F327" s="523" t="str">
        <f>L_CViec!AD299</f>
        <v>1-3</v>
      </c>
      <c r="G327" s="523">
        <f>L_CViec!AE299</f>
        <v>0.15</v>
      </c>
      <c r="H327" s="879">
        <f>L_CViec!AF299</f>
        <v>0.15</v>
      </c>
      <c r="I327" s="879">
        <f>L_CViec!AG299</f>
        <v>0.19500000000000001</v>
      </c>
      <c r="J327" s="294">
        <f>L_CViec!AH299</f>
        <v>296770.5</v>
      </c>
      <c r="K327" s="294">
        <f t="shared" si="37"/>
        <v>44515.574999999997</v>
      </c>
      <c r="L327" s="294">
        <f t="shared" si="37"/>
        <v>44515.574999999997</v>
      </c>
      <c r="M327" s="294">
        <f t="shared" si="37"/>
        <v>57870.247500000005</v>
      </c>
      <c r="N327" s="1091">
        <f>$D327*G327*L_CBac!$J$68</f>
        <v>3834.6749999999997</v>
      </c>
      <c r="O327" s="1091">
        <f>$D327*H327*L_CBac!$J$68</f>
        <v>3834.6749999999997</v>
      </c>
      <c r="P327" s="1091">
        <f>$D327*I327*L_CBac!$J$68</f>
        <v>4985.0775000000003</v>
      </c>
      <c r="Q327" s="1075">
        <f>$D327*G327*L_CBac!$J$69</f>
        <v>4211.5384615384619</v>
      </c>
      <c r="R327" s="903">
        <f>$D327*H327*L_CBac!$J$69</f>
        <v>4211.5384615384619</v>
      </c>
      <c r="S327" s="903">
        <f>$D327*I327*L_CBac!$J$69</f>
        <v>5475</v>
      </c>
    </row>
    <row r="328" spans="1:19" s="902" customFormat="1" ht="25.5">
      <c r="A328" s="523" t="str">
        <f>L_CViec!A300</f>
        <v>11</v>
      </c>
      <c r="B328" s="522" t="str">
        <f>L_CViec!B300</f>
        <v>Nhập nội dung của cấp xã,phường,đặc khu vào tệp (File) dữ liệu hồ sơ số</v>
      </c>
      <c r="C328" s="523" t="str">
        <f>L_CViec!AB300</f>
        <v>Thửa</v>
      </c>
      <c r="D328" s="523">
        <f>L_CViec!AA300</f>
        <v>1</v>
      </c>
      <c r="E328" s="523" t="str">
        <f>L_CViec!AC300</f>
        <v>1KS3</v>
      </c>
      <c r="F328" s="523" t="str">
        <f>L_CViec!AD300</f>
        <v>1-3</v>
      </c>
      <c r="G328" s="523">
        <f>L_CViec!AE300</f>
        <v>6.0000000000000001E-3</v>
      </c>
      <c r="H328" s="879">
        <f>L_CViec!AF300</f>
        <v>6.0000000000000001E-3</v>
      </c>
      <c r="I328" s="879">
        <f>L_CViec!AG300</f>
        <v>6.0000000000000001E-3</v>
      </c>
      <c r="J328" s="294">
        <f>L_CViec!AH300</f>
        <v>333450</v>
      </c>
      <c r="K328" s="294">
        <f t="shared" si="37"/>
        <v>2000.7</v>
      </c>
      <c r="L328" s="294">
        <f t="shared" si="37"/>
        <v>2000.7</v>
      </c>
      <c r="M328" s="294">
        <f t="shared" si="37"/>
        <v>2000.7</v>
      </c>
      <c r="N328" s="1091">
        <f>$D328*G328*L_CBac!$J$68</f>
        <v>153.387</v>
      </c>
      <c r="O328" s="1091">
        <f>$D328*H328*L_CBac!$J$68</f>
        <v>153.387</v>
      </c>
      <c r="P328" s="1091">
        <f>$D328*I328*L_CBac!$J$68</f>
        <v>153.387</v>
      </c>
      <c r="Q328" s="1075">
        <f>$D328*G328*L_CBac!$J$69</f>
        <v>168.46153846153848</v>
      </c>
      <c r="R328" s="903">
        <f>$D328*H328*L_CBac!$J$69</f>
        <v>168.46153846153848</v>
      </c>
      <c r="S328" s="903">
        <f>$D328*I328*L_CBac!$J$69</f>
        <v>168.46153846153848</v>
      </c>
    </row>
    <row r="329" spans="1:19" s="902" customFormat="1" ht="25.5">
      <c r="A329" s="523" t="str">
        <f>L_CViec!A301</f>
        <v>12</v>
      </c>
      <c r="B329" s="522" t="str">
        <f>L_CViec!B301</f>
        <v>Trích lục bản đồ địa chính đối với nơi đã có bản đồ địa chính hoặc trích đo bản đồ địa chính</v>
      </c>
      <c r="C329" s="523">
        <f>L_CViec!AB301</f>
        <v>0</v>
      </c>
      <c r="D329" s="523">
        <f>L_CViec!AA301</f>
        <v>0</v>
      </c>
      <c r="E329" s="523">
        <f>L_CViec!AC301</f>
        <v>0</v>
      </c>
      <c r="F329" s="523">
        <f>L_CViec!AD301</f>
        <v>0</v>
      </c>
      <c r="G329" s="523">
        <f>L_CViec!AE301</f>
        <v>0</v>
      </c>
      <c r="H329" s="879">
        <f>L_CViec!AF301</f>
        <v>0</v>
      </c>
      <c r="I329" s="879">
        <f>L_CViec!AG301</f>
        <v>0</v>
      </c>
      <c r="J329" s="294">
        <f>L_CViec!AH301</f>
        <v>0</v>
      </c>
      <c r="K329" s="294">
        <f t="shared" si="37"/>
        <v>0</v>
      </c>
      <c r="L329" s="294">
        <f t="shared" si="37"/>
        <v>0</v>
      </c>
      <c r="M329" s="294">
        <f t="shared" si="37"/>
        <v>0</v>
      </c>
      <c r="N329" s="1091">
        <f>$D329*G329*L_CBac!$J$68</f>
        <v>0</v>
      </c>
      <c r="O329" s="1091">
        <f>$D329*H329*L_CBac!$J$68</f>
        <v>0</v>
      </c>
      <c r="P329" s="1091">
        <f>$D329*I329*L_CBac!$J$68</f>
        <v>0</v>
      </c>
      <c r="Q329" s="1075"/>
      <c r="R329" s="903"/>
      <c r="S329" s="903"/>
    </row>
    <row r="330" spans="1:19" s="902" customFormat="1">
      <c r="A330" s="523" t="str">
        <f>L_CViec!A302</f>
        <v>12.1</v>
      </c>
      <c r="B330" s="522" t="str">
        <f>L_CViec!B302</f>
        <v>Trích lục trên bản đồ dạng số</v>
      </c>
      <c r="C330" s="523" t="str">
        <f>L_CViec!AB302</f>
        <v>Hồ sơ</v>
      </c>
      <c r="D330" s="523">
        <f>L_CViec!AA302</f>
        <v>1</v>
      </c>
      <c r="E330" s="523" t="str">
        <f>L_CViec!AC302</f>
        <v>1KS2</v>
      </c>
      <c r="F330" s="523" t="str">
        <f>L_CViec!AD302</f>
        <v>1-3</v>
      </c>
      <c r="G330" s="523">
        <f>L_CViec!AE302</f>
        <v>0.05</v>
      </c>
      <c r="H330" s="879">
        <f>L_CViec!AF302</f>
        <v>0</v>
      </c>
      <c r="I330" s="879">
        <f>L_CViec!AG302</f>
        <v>0.05</v>
      </c>
      <c r="J330" s="294">
        <f>L_CViec!AH302</f>
        <v>296770.5</v>
      </c>
      <c r="K330" s="294">
        <f t="shared" si="37"/>
        <v>14838.525000000001</v>
      </c>
      <c r="L330" s="294">
        <f t="shared" si="37"/>
        <v>0</v>
      </c>
      <c r="M330" s="294">
        <f t="shared" si="37"/>
        <v>14838.525000000001</v>
      </c>
      <c r="N330" s="1091">
        <f>$D330*G330*L_CBac!$J$68</f>
        <v>1278.2250000000001</v>
      </c>
      <c r="O330" s="1091">
        <f>$D330*H330*L_CBac!$J$68</f>
        <v>0</v>
      </c>
      <c r="P330" s="1091">
        <f>$D330*I330*L_CBac!$J$68</f>
        <v>1278.2250000000001</v>
      </c>
      <c r="Q330" s="1075">
        <f>$D330*G330*L_CBac!$J$69</f>
        <v>1403.846153846154</v>
      </c>
      <c r="R330" s="903">
        <f>$D330*H330*L_CBac!$J$69</f>
        <v>0</v>
      </c>
      <c r="S330" s="903">
        <f>$D330*I330*L_CBac!$J$69</f>
        <v>1403.846153846154</v>
      </c>
    </row>
    <row r="331" spans="1:19" s="902" customFormat="1">
      <c r="A331" s="523" t="str">
        <f>L_CViec!A303</f>
        <v>12.2</v>
      </c>
      <c r="B331" s="522" t="str">
        <f>L_CViec!B303</f>
        <v>Trích lục trên bản đồ dạng giấy</v>
      </c>
      <c r="C331" s="523" t="str">
        <f>L_CViec!AB303</f>
        <v>Hồ sơ</v>
      </c>
      <c r="D331" s="523">
        <f>L_CViec!AA303</f>
        <v>1</v>
      </c>
      <c r="E331" s="523" t="str">
        <f>L_CViec!AC303</f>
        <v>1KS2</v>
      </c>
      <c r="F331" s="523" t="str">
        <f>L_CViec!AD303</f>
        <v>1-3</v>
      </c>
      <c r="G331" s="523">
        <f>L_CViec!AE303</f>
        <v>0.1</v>
      </c>
      <c r="H331" s="879">
        <f>L_CViec!AF303</f>
        <v>0</v>
      </c>
      <c r="I331" s="879">
        <f>L_CViec!AG303</f>
        <v>0.1</v>
      </c>
      <c r="J331" s="294">
        <f>L_CViec!AH303</f>
        <v>296770.5</v>
      </c>
      <c r="K331" s="294">
        <f t="shared" si="37"/>
        <v>29677.050000000003</v>
      </c>
      <c r="L331" s="294">
        <f t="shared" si="37"/>
        <v>0</v>
      </c>
      <c r="M331" s="294">
        <f t="shared" si="37"/>
        <v>29677.050000000003</v>
      </c>
      <c r="N331" s="1091">
        <f>$D331*G331*L_CBac!$J$68</f>
        <v>2556.4500000000003</v>
      </c>
      <c r="O331" s="1091">
        <f>$D331*H331*L_CBac!$J$68</f>
        <v>0</v>
      </c>
      <c r="P331" s="1091">
        <f>$D331*I331*L_CBac!$J$68</f>
        <v>2556.4500000000003</v>
      </c>
      <c r="Q331" s="1075">
        <f>$D331*G331*L_CBac!$J$69</f>
        <v>2807.6923076923081</v>
      </c>
      <c r="R331" s="903">
        <f>$D331*H331*L_CBac!$J$69</f>
        <v>0</v>
      </c>
      <c r="S331" s="903">
        <f>$D331*I331*L_CBac!$J$69</f>
        <v>2807.6923076923081</v>
      </c>
    </row>
    <row r="332" spans="1:19" s="85" customFormat="1" ht="25.5">
      <c r="A332" s="523">
        <f>L_CViec!A304</f>
        <v>13</v>
      </c>
      <c r="B332" s="522" t="str">
        <f>L_CViec!B304</f>
        <v>Lập và gửi Phiếu chuyển thông tin để xác định nghĩa vụ tài chính về đất đai (nếu có)</v>
      </c>
      <c r="C332" s="523">
        <f>L_CViec!AB304</f>
        <v>0</v>
      </c>
      <c r="D332" s="523">
        <f>L_CViec!AA304</f>
        <v>0</v>
      </c>
      <c r="E332" s="523">
        <f>L_CViec!AC304</f>
        <v>0</v>
      </c>
      <c r="F332" s="523">
        <f>L_CViec!AD304</f>
        <v>0</v>
      </c>
      <c r="G332" s="523">
        <f>L_CViec!AE304</f>
        <v>0</v>
      </c>
      <c r="H332" s="879">
        <f>L_CViec!AF304</f>
        <v>0</v>
      </c>
      <c r="I332" s="879">
        <f>L_CViec!AG304</f>
        <v>0</v>
      </c>
      <c r="J332" s="294">
        <f>L_CViec!AH304</f>
        <v>0</v>
      </c>
      <c r="K332" s="294">
        <f t="shared" si="37"/>
        <v>0</v>
      </c>
      <c r="L332" s="294">
        <f t="shared" si="37"/>
        <v>0</v>
      </c>
      <c r="M332" s="294">
        <f t="shared" si="37"/>
        <v>0</v>
      </c>
      <c r="N332" s="1091">
        <f>$D332*G332*L_CBac!$J$68</f>
        <v>0</v>
      </c>
      <c r="O332" s="1091">
        <f>$D332*H332*L_CBac!$J$68</f>
        <v>0</v>
      </c>
      <c r="P332" s="1091">
        <f>$D332*I332*L_CBac!$J$68</f>
        <v>0</v>
      </c>
      <c r="Q332" s="1002">
        <f>$D332*G332*L_CBac!$J$69</f>
        <v>0</v>
      </c>
      <c r="R332" s="294">
        <f>$D332*H332*L_CBac!$J$69</f>
        <v>0</v>
      </c>
      <c r="S332" s="294">
        <f>$D332*I332*L_CBac!$J$69</f>
        <v>0</v>
      </c>
    </row>
    <row r="333" spans="1:19" s="85" customFormat="1">
      <c r="A333" s="523">
        <f>L_CViec!A305</f>
        <v>13.1</v>
      </c>
      <c r="B333" s="522" t="str">
        <f>L_CViec!B305</f>
        <v>Chuyển thông tin theo hình thức liên thông</v>
      </c>
      <c r="C333" s="523" t="str">
        <f>L_CViec!AB305</f>
        <v>Hồ sơ</v>
      </c>
      <c r="D333" s="523">
        <f>L_CViec!AA305</f>
        <v>1</v>
      </c>
      <c r="E333" s="523" t="str">
        <f>L_CViec!AC305</f>
        <v>1KS3</v>
      </c>
      <c r="F333" s="523" t="str">
        <f>L_CViec!AD305</f>
        <v>1-3</v>
      </c>
      <c r="G333" s="523">
        <f>L_CViec!AE305</f>
        <v>0.1</v>
      </c>
      <c r="H333" s="879">
        <f>L_CViec!AF305</f>
        <v>0.1</v>
      </c>
      <c r="I333" s="879">
        <f>L_CViec!AG305</f>
        <v>0.13</v>
      </c>
      <c r="J333" s="294">
        <f>L_CViec!AH305</f>
        <v>333450</v>
      </c>
      <c r="K333" s="294">
        <f t="shared" si="37"/>
        <v>33345</v>
      </c>
      <c r="L333" s="294">
        <f t="shared" si="37"/>
        <v>33345</v>
      </c>
      <c r="M333" s="294">
        <f t="shared" si="37"/>
        <v>43348.5</v>
      </c>
      <c r="N333" s="1091">
        <f>$D333*G333*L_CBac!$J$68</f>
        <v>2556.4500000000003</v>
      </c>
      <c r="O333" s="1091">
        <f>$D333*H333*L_CBac!$J$68</f>
        <v>2556.4500000000003</v>
      </c>
      <c r="P333" s="1091">
        <f>$D333*I333*L_CBac!$J$68</f>
        <v>3323.3850000000002</v>
      </c>
      <c r="Q333" s="1002"/>
      <c r="R333" s="294"/>
      <c r="S333" s="294"/>
    </row>
    <row r="334" spans="1:19" s="111" customFormat="1">
      <c r="A334" s="523">
        <f>L_CViec!A306</f>
        <v>13.2</v>
      </c>
      <c r="B334" s="522" t="str">
        <f>L_CViec!B306</f>
        <v>Chuyển thông tin theo hình thức trực tiếp</v>
      </c>
      <c r="C334" s="523" t="str">
        <f>L_CViec!AB306</f>
        <v>Hồ sơ</v>
      </c>
      <c r="D334" s="523">
        <f>L_CViec!AA306</f>
        <v>1</v>
      </c>
      <c r="E334" s="523" t="str">
        <f>L_CViec!AC306</f>
        <v>1KS3</v>
      </c>
      <c r="F334" s="523" t="str">
        <f>L_CViec!AD306</f>
        <v>1-3</v>
      </c>
      <c r="G334" s="523">
        <f>L_CViec!AE306</f>
        <v>0.2</v>
      </c>
      <c r="H334" s="879">
        <f>L_CViec!AF306</f>
        <v>0.2</v>
      </c>
      <c r="I334" s="879">
        <f>L_CViec!AG306</f>
        <v>0.26</v>
      </c>
      <c r="J334" s="294">
        <f>L_CViec!AH306</f>
        <v>333450</v>
      </c>
      <c r="K334" s="294">
        <f t="shared" si="37"/>
        <v>66690</v>
      </c>
      <c r="L334" s="294">
        <f t="shared" si="37"/>
        <v>66690</v>
      </c>
      <c r="M334" s="294">
        <f t="shared" si="37"/>
        <v>86697</v>
      </c>
      <c r="N334" s="1091">
        <f>$D334*G334*L_CBac!$J$68</f>
        <v>5112.9000000000005</v>
      </c>
      <c r="O334" s="1091">
        <f>$D334*H334*L_CBac!$J$68</f>
        <v>5112.9000000000005</v>
      </c>
      <c r="P334" s="1091">
        <f>$D334*I334*L_CBac!$J$68</f>
        <v>6646.77</v>
      </c>
      <c r="Q334" s="1002">
        <f>$D334*G334*L_CBac!$J$69</f>
        <v>5615.3846153846162</v>
      </c>
      <c r="R334" s="294">
        <f>$D334*H334*L_CBac!$J$69</f>
        <v>5615.3846153846162</v>
      </c>
      <c r="S334" s="294">
        <f>$D334*I334*L_CBac!$J$69</f>
        <v>7300.0000000000009</v>
      </c>
    </row>
    <row r="335" spans="1:19" s="111" customFormat="1" ht="25.5">
      <c r="A335" s="523">
        <f>L_CViec!A307</f>
        <v>14</v>
      </c>
      <c r="B335" s="522" t="str">
        <f>L_CViec!B307</f>
        <v>Nhận thông báo của cơ quan thuế về việc hoàn thành nghĩa vụ tài chính</v>
      </c>
      <c r="C335" s="523">
        <f>L_CViec!AB307</f>
        <v>0</v>
      </c>
      <c r="D335" s="523">
        <f>L_CViec!AA307</f>
        <v>0</v>
      </c>
      <c r="E335" s="523">
        <f>L_CViec!AC307</f>
        <v>0</v>
      </c>
      <c r="F335" s="523">
        <f>L_CViec!AD307</f>
        <v>0</v>
      </c>
      <c r="G335" s="523">
        <f>L_CViec!AE307</f>
        <v>0</v>
      </c>
      <c r="H335" s="879">
        <f>L_CViec!AF307</f>
        <v>0</v>
      </c>
      <c r="I335" s="879">
        <f>L_CViec!AG307</f>
        <v>0</v>
      </c>
      <c r="J335" s="294">
        <f>L_CViec!AH307</f>
        <v>0</v>
      </c>
      <c r="K335" s="294">
        <f t="shared" si="37"/>
        <v>0</v>
      </c>
      <c r="L335" s="294">
        <f t="shared" si="37"/>
        <v>0</v>
      </c>
      <c r="M335" s="294">
        <f t="shared" si="37"/>
        <v>0</v>
      </c>
      <c r="N335" s="1091">
        <f>$D335*G335*L_CBac!$J$68</f>
        <v>0</v>
      </c>
      <c r="O335" s="1091">
        <f>$D335*H335*L_CBac!$J$68</f>
        <v>0</v>
      </c>
      <c r="P335" s="1091">
        <f>$D335*I335*L_CBac!$J$68</f>
        <v>0</v>
      </c>
      <c r="Q335" s="1002">
        <f>$D335*G335*L_CBac!$J$69</f>
        <v>0</v>
      </c>
      <c r="R335" s="294">
        <f>$D335*H335*L_CBac!$J$69</f>
        <v>0</v>
      </c>
      <c r="S335" s="294">
        <f>$D335*I335*L_CBac!$J$69</f>
        <v>0</v>
      </c>
    </row>
    <row r="336" spans="1:19" s="85" customFormat="1">
      <c r="A336" s="523">
        <f>L_CViec!A308</f>
        <v>14.1</v>
      </c>
      <c r="B336" s="522" t="str">
        <f>L_CViec!B308</f>
        <v>Chuyển thông tin theo hình thức liên thông</v>
      </c>
      <c r="C336" s="523" t="str">
        <f>L_CViec!AB308</f>
        <v>Hồ sơ</v>
      </c>
      <c r="D336" s="523">
        <f>L_CViec!AA308</f>
        <v>1</v>
      </c>
      <c r="E336" s="523" t="str">
        <f>L_CViec!AC308</f>
        <v>1KS2</v>
      </c>
      <c r="F336" s="523" t="str">
        <f>L_CViec!AD308</f>
        <v>1-3</v>
      </c>
      <c r="G336" s="523">
        <f>L_CViec!AE308</f>
        <v>0.04</v>
      </c>
      <c r="H336" s="879">
        <f>L_CViec!AF308</f>
        <v>0.04</v>
      </c>
      <c r="I336" s="879">
        <f>L_CViec!AG308</f>
        <v>0.04</v>
      </c>
      <c r="J336" s="294">
        <f>L_CViec!AH308</f>
        <v>296770.5</v>
      </c>
      <c r="K336" s="294">
        <f t="shared" si="37"/>
        <v>11870.82</v>
      </c>
      <c r="L336" s="294">
        <f t="shared" si="37"/>
        <v>11870.82</v>
      </c>
      <c r="M336" s="294">
        <f t="shared" si="37"/>
        <v>11870.82</v>
      </c>
      <c r="N336" s="1091">
        <f>$D336*G336*L_CBac!$J$68</f>
        <v>1022.58</v>
      </c>
      <c r="O336" s="1091">
        <f>$D336*H336*L_CBac!$J$68</f>
        <v>1022.58</v>
      </c>
      <c r="P336" s="1091">
        <f>$D336*I336*L_CBac!$J$68</f>
        <v>1022.58</v>
      </c>
      <c r="Q336" s="1002">
        <f>$D336*G336*L_CBac!$J$69</f>
        <v>1123.0769230769231</v>
      </c>
      <c r="R336" s="294">
        <f>$D336*H336*L_CBac!$J$69</f>
        <v>1123.0769230769231</v>
      </c>
      <c r="S336" s="294">
        <f>$D336*I336*L_CBac!$J$69</f>
        <v>1123.0769230769231</v>
      </c>
    </row>
    <row r="337" spans="1:28" s="85" customFormat="1">
      <c r="A337" s="523">
        <f>L_CViec!A309</f>
        <v>14.2</v>
      </c>
      <c r="B337" s="522" t="str">
        <f>L_CViec!B309</f>
        <v>Chuyển thông tin theo hình thức trực tiếp</v>
      </c>
      <c r="C337" s="523" t="str">
        <f>L_CViec!AB309</f>
        <v>Hồ sơ</v>
      </c>
      <c r="D337" s="523">
        <f>L_CViec!AA309</f>
        <v>1</v>
      </c>
      <c r="E337" s="523" t="str">
        <f>L_CViec!AC309</f>
        <v>1KS2</v>
      </c>
      <c r="F337" s="523" t="str">
        <f>L_CViec!AD309</f>
        <v>1-3</v>
      </c>
      <c r="G337" s="523">
        <f>L_CViec!AE309</f>
        <v>0.03</v>
      </c>
      <c r="H337" s="879">
        <f>L_CViec!AF309</f>
        <v>0.03</v>
      </c>
      <c r="I337" s="879">
        <f>L_CViec!AG309</f>
        <v>0.03</v>
      </c>
      <c r="J337" s="294">
        <f>L_CViec!AH309</f>
        <v>296770.5</v>
      </c>
      <c r="K337" s="294">
        <f t="shared" si="37"/>
        <v>8903.1149999999998</v>
      </c>
      <c r="L337" s="294">
        <f t="shared" si="37"/>
        <v>8903.1149999999998</v>
      </c>
      <c r="M337" s="294">
        <f t="shared" si="37"/>
        <v>8903.1149999999998</v>
      </c>
      <c r="N337" s="1091">
        <f>$D337*G337*L_CBac!$J$68</f>
        <v>766.93499999999995</v>
      </c>
      <c r="O337" s="1091">
        <f>$D337*H337*L_CBac!$J$68</f>
        <v>766.93499999999995</v>
      </c>
      <c r="P337" s="1091">
        <f>$D337*I337*L_CBac!$J$68</f>
        <v>766.93499999999995</v>
      </c>
      <c r="Q337" s="1002">
        <f>$D337*G337*L_CBac!$J$69</f>
        <v>842.30769230769226</v>
      </c>
      <c r="R337" s="294">
        <f>$D337*H337*L_CBac!$J$69</f>
        <v>842.30769230769226</v>
      </c>
      <c r="S337" s="294">
        <f>$D337*I337*L_CBac!$J$69</f>
        <v>842.30769230769226</v>
      </c>
    </row>
    <row r="338" spans="1:28" s="85" customFormat="1" ht="25.5">
      <c r="A338" s="523" t="str">
        <f>L_CViec!A310</f>
        <v>15</v>
      </c>
      <c r="B338" s="522" t="str">
        <f>L_CViec!B310</f>
        <v>Nhập thông tin thửa đất, tài sản gắn liền với đất, đăng ký vào hồ sơ địa chính</v>
      </c>
      <c r="C338" s="523" t="str">
        <f>L_CViec!AB310</f>
        <v>Thửa</v>
      </c>
      <c r="D338" s="523">
        <f>L_CViec!AA310</f>
        <v>1</v>
      </c>
      <c r="E338" s="523" t="str">
        <f>L_CViec!AC310</f>
        <v>1KS3</v>
      </c>
      <c r="F338" s="523" t="str">
        <f>L_CViec!AD310</f>
        <v>1-3</v>
      </c>
      <c r="G338" s="523">
        <f>L_CViec!AE310</f>
        <v>0.107</v>
      </c>
      <c r="H338" s="879">
        <f>L_CViec!AF310</f>
        <v>3.3000000000000002E-2</v>
      </c>
      <c r="I338" s="879">
        <f>L_CViec!AG310</f>
        <v>0.16700000000000001</v>
      </c>
      <c r="J338" s="294">
        <f>L_CViec!AH310</f>
        <v>333450</v>
      </c>
      <c r="K338" s="294">
        <f t="shared" si="37"/>
        <v>35679.15</v>
      </c>
      <c r="L338" s="294">
        <f t="shared" si="37"/>
        <v>11003.85</v>
      </c>
      <c r="M338" s="294">
        <f t="shared" si="37"/>
        <v>55686.15</v>
      </c>
      <c r="N338" s="1091">
        <f>$D338*G338*L_CBac!$J$68</f>
        <v>2735.4014999999999</v>
      </c>
      <c r="O338" s="1091">
        <f>$D338*H338*L_CBac!$J$68</f>
        <v>843.62850000000003</v>
      </c>
      <c r="P338" s="1091">
        <f>$D338*I338*L_CBac!$J$68</f>
        <v>4269.2714999999998</v>
      </c>
      <c r="Q338" s="1002">
        <f>Q339+Q342+Q343</f>
        <v>28638.461538461539</v>
      </c>
      <c r="R338" s="294">
        <f>R339+R342+R343</f>
        <v>30042.307692307695</v>
      </c>
      <c r="S338" s="294">
        <f>S339+S342+S343</f>
        <v>35489.230769230773</v>
      </c>
    </row>
    <row r="339" spans="1:28" s="111" customFormat="1">
      <c r="A339" s="523" t="str">
        <f>L_CViec!A311</f>
        <v>16</v>
      </c>
      <c r="B339" s="522" t="str">
        <f>L_CViec!B311</f>
        <v>In GCN</v>
      </c>
      <c r="C339" s="523">
        <f>L_CViec!AB311</f>
        <v>0</v>
      </c>
      <c r="D339" s="523">
        <f>L_CViec!AA311</f>
        <v>0</v>
      </c>
      <c r="E339" s="523">
        <f>L_CViec!AC311</f>
        <v>0</v>
      </c>
      <c r="F339" s="523">
        <f>L_CViec!AD311</f>
        <v>0</v>
      </c>
      <c r="G339" s="523">
        <f>L_CViec!AE311</f>
        <v>0</v>
      </c>
      <c r="H339" s="879">
        <f>L_CViec!AF311</f>
        <v>0</v>
      </c>
      <c r="I339" s="879">
        <f>L_CViec!AG311</f>
        <v>0</v>
      </c>
      <c r="J339" s="294">
        <f>L_CViec!AH311</f>
        <v>0</v>
      </c>
      <c r="K339" s="294">
        <f t="shared" si="37"/>
        <v>0</v>
      </c>
      <c r="L339" s="294">
        <f t="shared" si="37"/>
        <v>0</v>
      </c>
      <c r="M339" s="294">
        <f t="shared" si="37"/>
        <v>0</v>
      </c>
      <c r="N339" s="1091">
        <f>$D339*G339*L_CBac!$J$68</f>
        <v>0</v>
      </c>
      <c r="O339" s="1091">
        <f>$D339*H339*L_CBac!$J$68</f>
        <v>0</v>
      </c>
      <c r="P339" s="1091">
        <f>$D339*I339*L_CBac!$J$68</f>
        <v>0</v>
      </c>
      <c r="Q339" s="1002">
        <f>SUM(Q340:Q341)</f>
        <v>7019.2307692307695</v>
      </c>
      <c r="R339" s="294">
        <f>SUM(R340:R341)</f>
        <v>8423.0769230769238</v>
      </c>
      <c r="S339" s="294">
        <f>SUM(S340:S341)</f>
        <v>8423.0769230769238</v>
      </c>
    </row>
    <row r="340" spans="1:28" s="111" customFormat="1">
      <c r="A340" s="523" t="str">
        <f>L_CViec!A312</f>
        <v>16.1</v>
      </c>
      <c r="B340" s="522" t="str">
        <f>L_CViec!B312</f>
        <v>Trực tiếp từ cơ sở dữ liệu dạng số</v>
      </c>
      <c r="C340" s="523" t="str">
        <f>L_CViec!AB312</f>
        <v>GCN</v>
      </c>
      <c r="D340" s="523">
        <f>L_CViec!AA312</f>
        <v>1</v>
      </c>
      <c r="E340" s="523" t="str">
        <f>L_CViec!AC312</f>
        <v>1KS2</v>
      </c>
      <c r="F340" s="523" t="str">
        <f>L_CViec!AD312</f>
        <v>1-3</v>
      </c>
      <c r="G340" s="523">
        <f>L_CViec!AE312</f>
        <v>0.1</v>
      </c>
      <c r="H340" s="879">
        <f>L_CViec!AF312</f>
        <v>0.1</v>
      </c>
      <c r="I340" s="879">
        <f>L_CViec!AG312</f>
        <v>0.1</v>
      </c>
      <c r="J340" s="294">
        <f>L_CViec!AH312</f>
        <v>296770.5</v>
      </c>
      <c r="K340" s="294">
        <f t="shared" si="37"/>
        <v>29677.050000000003</v>
      </c>
      <c r="L340" s="294">
        <f t="shared" si="37"/>
        <v>29677.050000000003</v>
      </c>
      <c r="M340" s="294">
        <f t="shared" si="37"/>
        <v>29677.050000000003</v>
      </c>
      <c r="N340" s="1091">
        <f>$D340*G340*L_CBac!$J$68</f>
        <v>2556.4500000000003</v>
      </c>
      <c r="O340" s="1091">
        <f>$D340*H340*L_CBac!$J$68</f>
        <v>2556.4500000000003</v>
      </c>
      <c r="P340" s="1091">
        <f>$D340*I340*L_CBac!$J$68</f>
        <v>2556.4500000000003</v>
      </c>
      <c r="Q340" s="1002">
        <f>$D340*G340*L_CBac!$J$69</f>
        <v>2807.6923076923081</v>
      </c>
      <c r="R340" s="294">
        <f>$D340*H340*L_CBac!$J$69</f>
        <v>2807.6923076923081</v>
      </c>
      <c r="S340" s="294">
        <f>$D340*I340*L_CBac!$J$69</f>
        <v>2807.6923076923081</v>
      </c>
    </row>
    <row r="341" spans="1:28" s="111" customFormat="1">
      <c r="A341" s="523" t="str">
        <f>L_CViec!A313</f>
        <v>16.2</v>
      </c>
      <c r="B341" s="522" t="str">
        <f>L_CViec!B313</f>
        <v>Đối với những nơi chưa có bản đồ dạng số</v>
      </c>
      <c r="C341" s="523" t="str">
        <f>L_CViec!AB313</f>
        <v>GCN</v>
      </c>
      <c r="D341" s="523">
        <f>L_CViec!AA313</f>
        <v>1</v>
      </c>
      <c r="E341" s="523" t="str">
        <f>L_CViec!AC313</f>
        <v>1KS2</v>
      </c>
      <c r="F341" s="523" t="str">
        <f>L_CViec!AD313</f>
        <v>1-3</v>
      </c>
      <c r="G341" s="523">
        <f>L_CViec!AE313</f>
        <v>0.15</v>
      </c>
      <c r="H341" s="879">
        <f>L_CViec!AF313</f>
        <v>0.2</v>
      </c>
      <c r="I341" s="879">
        <f>L_CViec!AG313</f>
        <v>0.2</v>
      </c>
      <c r="J341" s="294">
        <f>L_CViec!AH313</f>
        <v>296770.5</v>
      </c>
      <c r="K341" s="294">
        <f t="shared" si="37"/>
        <v>44515.574999999997</v>
      </c>
      <c r="L341" s="294">
        <f t="shared" si="37"/>
        <v>59354.100000000006</v>
      </c>
      <c r="M341" s="294">
        <f t="shared" si="37"/>
        <v>59354.100000000006</v>
      </c>
      <c r="N341" s="1091">
        <f>$D341*G341*L_CBac!$J$68</f>
        <v>3834.6749999999997</v>
      </c>
      <c r="O341" s="1091">
        <f>$D341*H341*L_CBac!$J$68</f>
        <v>5112.9000000000005</v>
      </c>
      <c r="P341" s="1091">
        <f>$D341*I341*L_CBac!$J$68</f>
        <v>5112.9000000000005</v>
      </c>
      <c r="Q341" s="1002">
        <f>$D341*G341*L_CBac!$J$69</f>
        <v>4211.5384615384619</v>
      </c>
      <c r="R341" s="294">
        <f>$D341*H341*L_CBac!$J$69</f>
        <v>5615.3846153846162</v>
      </c>
      <c r="S341" s="294">
        <f>$D341*I341*L_CBac!$J$69</f>
        <v>5615.3846153846162</v>
      </c>
    </row>
    <row r="342" spans="1:28" s="111" customFormat="1" ht="25.5">
      <c r="A342" s="523" t="str">
        <f>L_CViec!A314</f>
        <v>17</v>
      </c>
      <c r="B342" s="522" t="str">
        <f>L_CViec!B314</f>
        <v>Trích sao số liệu địa chính, quyết định hủy GCN bị mất, cấp đổi, cấp lại GCN, lập sổ theo dõi hồ sơ</v>
      </c>
      <c r="C342" s="523" t="str">
        <f>L_CViec!AB314</f>
        <v>Hồ sơ</v>
      </c>
      <c r="D342" s="523">
        <f>L_CViec!AA314</f>
        <v>1</v>
      </c>
      <c r="E342" s="523" t="str">
        <f>L_CViec!AC314</f>
        <v>1KS3</v>
      </c>
      <c r="F342" s="523" t="str">
        <f>L_CViec!AD314</f>
        <v>1-3</v>
      </c>
      <c r="G342" s="523">
        <f>L_CViec!AE314</f>
        <v>0.4</v>
      </c>
      <c r="H342" s="879">
        <f>L_CViec!AF314</f>
        <v>0.4</v>
      </c>
      <c r="I342" s="879">
        <f>L_CViec!AG314</f>
        <v>0.52</v>
      </c>
      <c r="J342" s="294">
        <f>L_CViec!AH314</f>
        <v>333450</v>
      </c>
      <c r="K342" s="294">
        <f t="shared" si="37"/>
        <v>133380</v>
      </c>
      <c r="L342" s="294">
        <f t="shared" si="37"/>
        <v>133380</v>
      </c>
      <c r="M342" s="294">
        <f t="shared" si="37"/>
        <v>173394</v>
      </c>
      <c r="N342" s="1091">
        <f>$D342*G342*L_CBac!$J$68</f>
        <v>10225.800000000001</v>
      </c>
      <c r="O342" s="1091">
        <f>$D342*H342*L_CBac!$J$68</f>
        <v>10225.800000000001</v>
      </c>
      <c r="P342" s="1091">
        <f>$D342*I342*L_CBac!$J$68</f>
        <v>13293.54</v>
      </c>
      <c r="Q342" s="1002">
        <f>$D342*G342*L_CBac!$J$69</f>
        <v>11230.769230769232</v>
      </c>
      <c r="R342" s="294">
        <f>$D342*H342*L_CBac!$J$69</f>
        <v>11230.769230769232</v>
      </c>
      <c r="S342" s="294">
        <f>$D342*I342*L_CBac!$J$69</f>
        <v>14600.000000000002</v>
      </c>
    </row>
    <row r="343" spans="1:28" s="111" customFormat="1" ht="25.5">
      <c r="A343" s="523" t="str">
        <f>L_CViec!A315</f>
        <v>18</v>
      </c>
      <c r="B343" s="522" t="str">
        <f>L_CViec!B315</f>
        <v>Cập nhật chỉnh lý HSĐC, thu phí, lệ phí, nộp kho bạc; gửi thông báo biến động cho cấp xã, phường</v>
      </c>
      <c r="C343" s="523" t="str">
        <f>L_CViec!AB315</f>
        <v>Hồ sơ</v>
      </c>
      <c r="D343" s="523">
        <f>L_CViec!AA315</f>
        <v>1</v>
      </c>
      <c r="E343" s="523" t="str">
        <f>L_CViec!AC315</f>
        <v>1KS2</v>
      </c>
      <c r="F343" s="523" t="str">
        <f>L_CViec!AD315</f>
        <v>1-3</v>
      </c>
      <c r="G343" s="523">
        <f>L_CViec!AE315</f>
        <v>0.37</v>
      </c>
      <c r="H343" s="879">
        <f>L_CViec!AF315</f>
        <v>0.37</v>
      </c>
      <c r="I343" s="879">
        <f>L_CViec!AG315</f>
        <v>0.44400000000000001</v>
      </c>
      <c r="J343" s="294">
        <f>L_CViec!AH315</f>
        <v>296770.5</v>
      </c>
      <c r="K343" s="294">
        <f t="shared" si="37"/>
        <v>109805.08499999999</v>
      </c>
      <c r="L343" s="294">
        <f t="shared" si="37"/>
        <v>109805.08499999999</v>
      </c>
      <c r="M343" s="294">
        <f t="shared" si="37"/>
        <v>131766.10200000001</v>
      </c>
      <c r="N343" s="1091">
        <f>$D343*G343*L_CBac!$J$68</f>
        <v>9458.8649999999998</v>
      </c>
      <c r="O343" s="1091">
        <f>$D343*H343*L_CBac!$J$68</f>
        <v>9458.8649999999998</v>
      </c>
      <c r="P343" s="1091">
        <f>$D343*I343*L_CBac!$J$68</f>
        <v>11350.638000000001</v>
      </c>
      <c r="Q343" s="1002">
        <f>$D343*G343*L_CBac!$J$69</f>
        <v>10388.461538461539</v>
      </c>
      <c r="R343" s="294">
        <f>$D343*H343*L_CBac!$J$69</f>
        <v>10388.461538461539</v>
      </c>
      <c r="S343" s="294">
        <f>$D343*I343*L_CBac!$J$69</f>
        <v>12466.153846153848</v>
      </c>
    </row>
    <row r="344" spans="1:28" s="85" customFormat="1" ht="25.5">
      <c r="A344" s="523" t="str">
        <f>L_CViec!A316</f>
        <v>19</v>
      </c>
      <c r="B344" s="522" t="str">
        <f>L_CViec!B316</f>
        <v>Quét giấy tờ pháp lý về quyền sử dụng đất, quyền sở hữu nhà ở và tài sản khác gắn liền với đất</v>
      </c>
      <c r="C344" s="523">
        <f>L_CViec!AB316</f>
        <v>0</v>
      </c>
      <c r="D344" s="523">
        <f>L_CViec!AA316</f>
        <v>0</v>
      </c>
      <c r="E344" s="523">
        <f>L_CViec!AC316</f>
        <v>0</v>
      </c>
      <c r="F344" s="523">
        <f>L_CViec!AD316</f>
        <v>0</v>
      </c>
      <c r="G344" s="523">
        <f>L_CViec!AE316</f>
        <v>0</v>
      </c>
      <c r="H344" s="879">
        <f>L_CViec!AF316</f>
        <v>0</v>
      </c>
      <c r="I344" s="879">
        <f>L_CViec!AG316</f>
        <v>0</v>
      </c>
      <c r="J344" s="294">
        <f>L_CViec!AH316</f>
        <v>0</v>
      </c>
      <c r="K344" s="294">
        <f t="shared" si="37"/>
        <v>0</v>
      </c>
      <c r="L344" s="294">
        <f t="shared" si="37"/>
        <v>0</v>
      </c>
      <c r="M344" s="294">
        <f t="shared" si="37"/>
        <v>0</v>
      </c>
      <c r="N344" s="1091">
        <f>$D344*G344*L_CBac!$J$68</f>
        <v>0</v>
      </c>
      <c r="O344" s="1091">
        <f>$D344*H344*L_CBac!$J$68</f>
        <v>0</v>
      </c>
      <c r="P344" s="1091">
        <f>$D344*I344*L_CBac!$J$68</f>
        <v>0</v>
      </c>
      <c r="Q344" s="1002">
        <f>$D344*G344*L_CBac!$J$69</f>
        <v>0</v>
      </c>
      <c r="R344" s="294">
        <f>$D344*H344*L_CBac!$J$69</f>
        <v>0</v>
      </c>
      <c r="S344" s="294">
        <f>$D344*I344*L_CBac!$J$69</f>
        <v>0</v>
      </c>
    </row>
    <row r="345" spans="1:28" s="85" customFormat="1">
      <c r="A345" s="523" t="str">
        <f>L_CViec!A317</f>
        <v>19.1</v>
      </c>
      <c r="B345" s="522" t="str">
        <f>L_CViec!B317</f>
        <v>Quét trang A3</v>
      </c>
      <c r="C345" s="523" t="str">
        <f>L_CViec!AB317</f>
        <v>Trang</v>
      </c>
      <c r="D345" s="523">
        <f>L_CViec!AA317</f>
        <v>1</v>
      </c>
      <c r="E345" s="523" t="str">
        <f>L_CViec!AC317</f>
        <v>1KS1</v>
      </c>
      <c r="F345" s="523" t="str">
        <f>L_CViec!AD317</f>
        <v>1-3</v>
      </c>
      <c r="G345" s="523">
        <f>L_CViec!AE317</f>
        <v>1.6E-2</v>
      </c>
      <c r="H345" s="879">
        <f>L_CViec!AF317</f>
        <v>1.6E-2</v>
      </c>
      <c r="I345" s="879">
        <f>L_CViec!AG317</f>
        <v>1.6E-2</v>
      </c>
      <c r="J345" s="294">
        <f>L_CViec!AH317</f>
        <v>260091</v>
      </c>
      <c r="K345" s="294">
        <f t="shared" si="37"/>
        <v>4161.4560000000001</v>
      </c>
      <c r="L345" s="294">
        <f t="shared" si="37"/>
        <v>4161.4560000000001</v>
      </c>
      <c r="M345" s="294">
        <f t="shared" si="37"/>
        <v>4161.4560000000001</v>
      </c>
      <c r="N345" s="1091">
        <f>$D345*G345*L_CBac!$J$68</f>
        <v>409.03199999999998</v>
      </c>
      <c r="O345" s="1091">
        <f>$D345*H345*L_CBac!$J$68</f>
        <v>409.03199999999998</v>
      </c>
      <c r="P345" s="1091">
        <f>$D345*I345*L_CBac!$J$68</f>
        <v>409.03199999999998</v>
      </c>
      <c r="Q345" s="1002">
        <f>$D345*G345*L_CBac!$J$69</f>
        <v>449.23076923076928</v>
      </c>
      <c r="R345" s="294">
        <f>$D345*H345*L_CBac!$J$69</f>
        <v>449.23076923076928</v>
      </c>
      <c r="S345" s="294">
        <f>$D345*I345*L_CBac!$J$69</f>
        <v>449.23076923076928</v>
      </c>
    </row>
    <row r="346" spans="1:28" s="566" customFormat="1" ht="15">
      <c r="A346" s="523" t="str">
        <f>L_CViec!A318</f>
        <v>19.2</v>
      </c>
      <c r="B346" s="522" t="str">
        <f>L_CViec!B318</f>
        <v>Quét trang A4</v>
      </c>
      <c r="C346" s="523" t="str">
        <f>L_CViec!AB318</f>
        <v>Trang</v>
      </c>
      <c r="D346" s="523">
        <f>L_CViec!AA318</f>
        <v>1</v>
      </c>
      <c r="E346" s="523" t="str">
        <f>L_CViec!AC318</f>
        <v>1KS1</v>
      </c>
      <c r="F346" s="523" t="str">
        <f>L_CViec!AD318</f>
        <v>1-3</v>
      </c>
      <c r="G346" s="523">
        <f>L_CViec!AE318</f>
        <v>8.0000000000000002E-3</v>
      </c>
      <c r="H346" s="879">
        <f>L_CViec!AF318</f>
        <v>8.0000000000000002E-3</v>
      </c>
      <c r="I346" s="879">
        <f>L_CViec!AG318</f>
        <v>8.0000000000000002E-3</v>
      </c>
      <c r="J346" s="294">
        <f>L_CViec!AH318</f>
        <v>260091</v>
      </c>
      <c r="K346" s="294">
        <f t="shared" si="37"/>
        <v>2080.7280000000001</v>
      </c>
      <c r="L346" s="294">
        <f t="shared" si="37"/>
        <v>2080.7280000000001</v>
      </c>
      <c r="M346" s="294">
        <f t="shared" si="37"/>
        <v>2080.7280000000001</v>
      </c>
      <c r="N346" s="1091">
        <f>$D346*G346*L_CBac!$J$68</f>
        <v>204.51599999999999</v>
      </c>
      <c r="O346" s="1091">
        <f>$D346*H346*L_CBac!$J$68</f>
        <v>204.51599999999999</v>
      </c>
      <c r="P346" s="1091">
        <f>$D346*I346*L_CBac!$J$68</f>
        <v>204.51599999999999</v>
      </c>
      <c r="Q346" s="1087">
        <f>$D346*G346*L_CBac!$J$69</f>
        <v>224.61538461538464</v>
      </c>
      <c r="R346" s="909">
        <f>$D346*H346*L_CBac!$J$69</f>
        <v>224.61538461538464</v>
      </c>
      <c r="S346" s="909">
        <f>$D346*I346*L_CBac!$J$69</f>
        <v>224.61538461538464</v>
      </c>
    </row>
    <row r="347" spans="1:28" s="566" customFormat="1" ht="25.5">
      <c r="A347" s="523" t="str">
        <f>L_CViec!A319</f>
        <v>20</v>
      </c>
      <c r="B347" s="522" t="str">
        <f>L_CViec!B319</f>
        <v>Xử lý các tệp tin quét thành tệp (File) hồ sơ quét dạng số của thửa đất, lưu trữ dưới khuôn dạng tệp tin PDF</v>
      </c>
      <c r="C347" s="523" t="str">
        <f>L_CViec!AB319</f>
        <v>Trang</v>
      </c>
      <c r="D347" s="523">
        <f>L_CViec!AA319</f>
        <v>1</v>
      </c>
      <c r="E347" s="523" t="str">
        <f>L_CViec!AC319</f>
        <v>1KS1</v>
      </c>
      <c r="F347" s="523" t="str">
        <f>L_CViec!AD319</f>
        <v>1-3</v>
      </c>
      <c r="G347" s="523">
        <f>L_CViec!AE319</f>
        <v>4.0000000000000001E-3</v>
      </c>
      <c r="H347" s="879">
        <f>L_CViec!AF319</f>
        <v>4.0000000000000001E-3</v>
      </c>
      <c r="I347" s="879">
        <f>L_CViec!AG319</f>
        <v>4.0000000000000001E-3</v>
      </c>
      <c r="J347" s="294">
        <f>L_CViec!AH319</f>
        <v>260091</v>
      </c>
      <c r="K347" s="294">
        <f t="shared" si="37"/>
        <v>1040.364</v>
      </c>
      <c r="L347" s="294">
        <f t="shared" si="37"/>
        <v>1040.364</v>
      </c>
      <c r="M347" s="294">
        <f t="shared" si="37"/>
        <v>1040.364</v>
      </c>
      <c r="N347" s="1091">
        <f>$D347*G347*L_CBac!$J$68</f>
        <v>102.258</v>
      </c>
      <c r="O347" s="1091">
        <f>$D347*H347*L_CBac!$J$68</f>
        <v>102.258</v>
      </c>
      <c r="P347" s="1091">
        <f>$D347*I347*L_CBac!$J$68</f>
        <v>102.258</v>
      </c>
      <c r="Q347" s="1087">
        <f>$D347*G347*L_CBac!$J$69</f>
        <v>112.30769230769232</v>
      </c>
      <c r="R347" s="909">
        <f>$D347*H347*L_CBac!$J$69</f>
        <v>112.30769230769232</v>
      </c>
      <c r="S347" s="909">
        <f>$D347*I347*L_CBac!$J$69</f>
        <v>112.30769230769232</v>
      </c>
    </row>
    <row r="348" spans="1:28" s="566" customFormat="1" ht="25.5">
      <c r="A348" s="523" t="str">
        <f>L_CViec!A320</f>
        <v>21</v>
      </c>
      <c r="B348" s="522" t="str">
        <f>L_CViec!B320</f>
        <v>Tạo liên kết hồ sơ quét dạng số với thửa đất trong cơ sở dữ liệu</v>
      </c>
      <c r="C348" s="523" t="str">
        <f>L_CViec!AB320</f>
        <v>Thửa</v>
      </c>
      <c r="D348" s="523">
        <f>L_CViec!AA320</f>
        <v>1</v>
      </c>
      <c r="E348" s="523" t="str">
        <f>L_CViec!AC320</f>
        <v>1KS1</v>
      </c>
      <c r="F348" s="523" t="str">
        <f>L_CViec!AD320</f>
        <v>1-3</v>
      </c>
      <c r="G348" s="523">
        <f>L_CViec!AE320</f>
        <v>0.01</v>
      </c>
      <c r="H348" s="879">
        <f>L_CViec!AF320</f>
        <v>0.01</v>
      </c>
      <c r="I348" s="879">
        <f>L_CViec!AG320</f>
        <v>0.01</v>
      </c>
      <c r="J348" s="294">
        <f>L_CViec!AH320</f>
        <v>260091</v>
      </c>
      <c r="K348" s="294">
        <f t="shared" si="37"/>
        <v>2600.91</v>
      </c>
      <c r="L348" s="294">
        <f t="shared" si="37"/>
        <v>2600.91</v>
      </c>
      <c r="M348" s="294">
        <f t="shared" si="37"/>
        <v>2600.91</v>
      </c>
      <c r="N348" s="1091">
        <f>$D348*G348*L_CBac!$J$68</f>
        <v>255.64500000000001</v>
      </c>
      <c r="O348" s="1091">
        <f>$D348*H348*L_CBac!$J$68</f>
        <v>255.64500000000001</v>
      </c>
      <c r="P348" s="1091">
        <f>$D348*I348*L_CBac!$J$68</f>
        <v>255.64500000000001</v>
      </c>
      <c r="Q348" s="1087"/>
      <c r="R348" s="909"/>
      <c r="S348" s="909"/>
    </row>
    <row r="349" spans="1:28" s="566" customFormat="1" ht="63.75">
      <c r="A349" s="523" t="str">
        <f>L_CViec!A321</f>
        <v>22</v>
      </c>
      <c r="B349" s="522" t="str">
        <f>L_CViec!B321</f>
        <v>Thông báo danh sách các trường hợp làm thủ tục cấp đổi, cấp lại Giấy chứng nhận cho bên nhận thế chấp quyền sử dụng đất, tài sản gắn liền với đất; xác nhận việc đăng ký thế chấp vào GCN sau khi được cơ quan có thẩm quyền ký cấp đổi, cấp lại</v>
      </c>
      <c r="C349" s="523" t="str">
        <f>L_CViec!AB321</f>
        <v>Hồ sơ</v>
      </c>
      <c r="D349" s="523">
        <f>L_CViec!AA321</f>
        <v>1</v>
      </c>
      <c r="E349" s="523" t="str">
        <f>L_CViec!AC321</f>
        <v>1KS2</v>
      </c>
      <c r="F349" s="523" t="str">
        <f>L_CViec!AD321</f>
        <v>1-3</v>
      </c>
      <c r="G349" s="523">
        <f>L_CViec!AE321</f>
        <v>0.05</v>
      </c>
      <c r="H349" s="879">
        <f>L_CViec!AF321</f>
        <v>0.05</v>
      </c>
      <c r="I349" s="879">
        <f>L_CViec!AG321</f>
        <v>6.5000000000000002E-2</v>
      </c>
      <c r="J349" s="294">
        <f>L_CViec!AH321</f>
        <v>296770.5</v>
      </c>
      <c r="K349" s="294">
        <f t="shared" si="37"/>
        <v>14838.525000000001</v>
      </c>
      <c r="L349" s="294">
        <f t="shared" si="37"/>
        <v>14838.525000000001</v>
      </c>
      <c r="M349" s="294">
        <f t="shared" si="37"/>
        <v>19290.0825</v>
      </c>
      <c r="N349" s="1091">
        <f>$D349*G349*L_CBac!$J$68</f>
        <v>1278.2250000000001</v>
      </c>
      <c r="O349" s="1091">
        <f>$D349*H349*L_CBac!$J$68</f>
        <v>1278.2250000000001</v>
      </c>
      <c r="P349" s="1091">
        <f>$D349*I349*L_CBac!$J$68</f>
        <v>1661.6925000000001</v>
      </c>
      <c r="Q349" s="1087"/>
      <c r="R349" s="909"/>
      <c r="S349" s="909"/>
    </row>
    <row r="350" spans="1:28" s="566" customFormat="1" ht="63.75">
      <c r="A350" s="523" t="str">
        <f>L_CViec!A322</f>
        <v>23</v>
      </c>
      <c r="B350" s="522" t="str">
        <f>L_CViec!B322</f>
        <v>Chuyển Giấy chứng nhận đến Bộ phận một cửa để trao cho người sử dụng đất hoặc chuyển Giấy chứng nhận cho người sử dụng đất thông qua dịch vụ bưu chính công ích hoặc Văn phòng đăng ký đất đai nhận lại GCN cũ đang thế chấp từ tổ chức tín dụng và trao GCN mới</v>
      </c>
      <c r="C350" s="523" t="str">
        <f>L_CViec!AB322</f>
        <v>Hồ sơ</v>
      </c>
      <c r="D350" s="523">
        <f>L_CViec!AA322</f>
        <v>1</v>
      </c>
      <c r="E350" s="523" t="str">
        <f>L_CViec!AC322</f>
        <v>1KS2</v>
      </c>
      <c r="F350" s="523" t="str">
        <f>L_CViec!AD322</f>
        <v>1-3</v>
      </c>
      <c r="G350" s="523">
        <f>L_CViec!AE322</f>
        <v>0.05</v>
      </c>
      <c r="H350" s="879">
        <f>L_CViec!AF322</f>
        <v>0.05</v>
      </c>
      <c r="I350" s="879">
        <f>L_CViec!AG322</f>
        <v>6.5000000000000002E-2</v>
      </c>
      <c r="J350" s="294">
        <f>L_CViec!AH322</f>
        <v>296770.5</v>
      </c>
      <c r="K350" s="294">
        <f t="shared" si="37"/>
        <v>14838.525000000001</v>
      </c>
      <c r="L350" s="294">
        <f t="shared" si="37"/>
        <v>14838.525000000001</v>
      </c>
      <c r="M350" s="294">
        <f t="shared" si="37"/>
        <v>19290.0825</v>
      </c>
      <c r="N350" s="1091">
        <f>$D350*G350*L_CBac!$J$68</f>
        <v>1278.2250000000001</v>
      </c>
      <c r="O350" s="1091">
        <f>$D350*H350*L_CBac!$J$68</f>
        <v>1278.2250000000001</v>
      </c>
      <c r="P350" s="1091">
        <f>$D350*I350*L_CBac!$J$68</f>
        <v>1661.6925000000001</v>
      </c>
      <c r="Q350" s="1087"/>
      <c r="R350" s="909"/>
      <c r="S350" s="909"/>
    </row>
    <row r="351" spans="1:28" s="85" customFormat="1" ht="25.5">
      <c r="A351" s="523" t="str">
        <f>L_CViec!A323</f>
        <v>24</v>
      </c>
      <c r="B351" s="522" t="str">
        <f>L_CViec!B323</f>
        <v>UBND xã, phường nhận thông báo biến động, chỉnh lý vào HSĐC</v>
      </c>
      <c r="C351" s="523" t="str">
        <f>L_CViec!AB323</f>
        <v>Hồ sơ</v>
      </c>
      <c r="D351" s="523">
        <f>L_CViec!AA323</f>
        <v>1</v>
      </c>
      <c r="E351" s="523" t="str">
        <f>L_CViec!AC323</f>
        <v>1KS2</v>
      </c>
      <c r="F351" s="523" t="str">
        <f>L_CViec!AD323</f>
        <v>1-3</v>
      </c>
      <c r="G351" s="523">
        <f>L_CViec!AE323</f>
        <v>0.02</v>
      </c>
      <c r="H351" s="879">
        <f>L_CViec!AF323</f>
        <v>0.02</v>
      </c>
      <c r="I351" s="879">
        <f>L_CViec!AG323</f>
        <v>2.5999999999999999E-2</v>
      </c>
      <c r="J351" s="294">
        <f>L_CViec!AH323</f>
        <v>296770.5</v>
      </c>
      <c r="K351" s="294">
        <f t="shared" si="37"/>
        <v>5935.41</v>
      </c>
      <c r="L351" s="294">
        <f t="shared" si="37"/>
        <v>5935.41</v>
      </c>
      <c r="M351" s="294">
        <f t="shared" si="37"/>
        <v>7716.0329999999994</v>
      </c>
      <c r="N351" s="1091">
        <f>$D351*G351*L_CBac!$J$68</f>
        <v>511.29</v>
      </c>
      <c r="O351" s="1091">
        <f>$D351*H351*L_CBac!$J$68</f>
        <v>511.29</v>
      </c>
      <c r="P351" s="1091">
        <f>$D351*I351*L_CBac!$J$68</f>
        <v>664.67700000000002</v>
      </c>
      <c r="Q351" s="1002">
        <f>$D351*G351*L_CBac!$J$69</f>
        <v>561.53846153846155</v>
      </c>
      <c r="R351" s="294">
        <f>$D351*H351*L_CBac!$J$69</f>
        <v>561.53846153846155</v>
      </c>
      <c r="S351" s="294">
        <f>$D351*I351*L_CBac!$J$69</f>
        <v>730</v>
      </c>
    </row>
    <row r="352" spans="1:28" s="1052" customFormat="1" ht="25.5" customHeight="1">
      <c r="A352" s="520" t="str">
        <f>L_CViec!A324</f>
        <v>V.2</v>
      </c>
      <c r="B352" s="993" t="str">
        <f>L_CViec!B324</f>
        <v>CÁC NỘI DUNG THỰC HIỆN TẠI ĐỊA BÀN CẤP TỈNH</v>
      </c>
      <c r="C352" s="523">
        <f>L_CViec!AB324</f>
        <v>0</v>
      </c>
      <c r="D352" s="523">
        <f>L_CViec!AA324</f>
        <v>0</v>
      </c>
      <c r="E352" s="523">
        <f>L_CViec!AC324</f>
        <v>0</v>
      </c>
      <c r="F352" s="523">
        <f>L_CViec!AD324</f>
        <v>0</v>
      </c>
      <c r="G352" s="523">
        <f>L_CViec!AE324</f>
        <v>0</v>
      </c>
      <c r="H352" s="879">
        <f>L_CViec!AF324</f>
        <v>0</v>
      </c>
      <c r="I352" s="879">
        <f>L_CViec!AG324</f>
        <v>0</v>
      </c>
      <c r="J352" s="294">
        <f>L_CViec!AH324</f>
        <v>0</v>
      </c>
      <c r="K352" s="294">
        <f t="shared" ref="K352:M353" si="38">G352*$J352</f>
        <v>0</v>
      </c>
      <c r="L352" s="294">
        <f t="shared" si="38"/>
        <v>0</v>
      </c>
      <c r="M352" s="294">
        <f t="shared" si="38"/>
        <v>0</v>
      </c>
      <c r="N352" s="1091">
        <f>$D352*G352*L_CBac!$J$68</f>
        <v>0</v>
      </c>
      <c r="O352" s="1091">
        <f>$D352*H352*L_CBac!$J$68</f>
        <v>0</v>
      </c>
      <c r="P352" s="1091">
        <f>$D352*I352*L_CBac!$J$68</f>
        <v>0</v>
      </c>
      <c r="Q352" s="1002"/>
      <c r="R352" s="294"/>
      <c r="S352" s="294"/>
      <c r="T352" s="85"/>
      <c r="U352" s="85"/>
      <c r="V352" s="85"/>
      <c r="W352" s="85"/>
      <c r="X352" s="85"/>
      <c r="Y352" s="85"/>
      <c r="Z352" s="85"/>
      <c r="AA352" s="85"/>
      <c r="AB352" s="85"/>
    </row>
    <row r="353" spans="1:19" s="85" customFormat="1" ht="25.5">
      <c r="A353" s="523">
        <f>L_CViec!A325</f>
        <v>0</v>
      </c>
      <c r="B353" s="522" t="str">
        <f>L_CViec!B325</f>
        <v>Cấp tỉnh nhận thông báo biến động,chỉnh lý vào HSĐC,lưu kho hồ sơ</v>
      </c>
      <c r="C353" s="523" t="str">
        <f>L_CViec!AB325</f>
        <v>Hồ sơ</v>
      </c>
      <c r="D353" s="523">
        <f>L_CViec!AA325</f>
        <v>1</v>
      </c>
      <c r="E353" s="523" t="str">
        <f>L_CViec!AC325</f>
        <v>1KS2</v>
      </c>
      <c r="F353" s="523" t="str">
        <f>L_CViec!AD325</f>
        <v>1-3</v>
      </c>
      <c r="G353" s="523">
        <f>L_CViec!AE325</f>
        <v>0.02</v>
      </c>
      <c r="H353" s="879">
        <f>L_CViec!AF325</f>
        <v>0.02</v>
      </c>
      <c r="I353" s="879">
        <f>L_CViec!AG325</f>
        <v>2.5999999999999999E-2</v>
      </c>
      <c r="J353" s="294">
        <f>L_CViec!AH325</f>
        <v>296770.5</v>
      </c>
      <c r="K353" s="294">
        <f t="shared" si="38"/>
        <v>5935.41</v>
      </c>
      <c r="L353" s="294">
        <f t="shared" si="38"/>
        <v>5935.41</v>
      </c>
      <c r="M353" s="294">
        <f t="shared" si="38"/>
        <v>7716.0329999999994</v>
      </c>
      <c r="N353" s="1091">
        <f>$D353*G353*L_CBac!$J$68</f>
        <v>511.29</v>
      </c>
      <c r="O353" s="1091">
        <f>$D353*H353*L_CBac!$J$68</f>
        <v>511.29</v>
      </c>
      <c r="P353" s="1091">
        <f>$D353*I353*L_CBac!$J$68</f>
        <v>664.67700000000002</v>
      </c>
      <c r="Q353" s="1002"/>
      <c r="R353" s="294"/>
      <c r="S353" s="294"/>
    </row>
    <row r="354" spans="1:19" s="85" customFormat="1">
      <c r="A354" s="83" t="str">
        <f>L_CViec!A326</f>
        <v>V.3</v>
      </c>
      <c r="B354" s="89" t="str">
        <f>L_CViec!B326</f>
        <v>GHI CHÚ</v>
      </c>
      <c r="C354" s="89">
        <f>L_CViec!AB326</f>
        <v>0</v>
      </c>
      <c r="D354" s="89"/>
      <c r="E354" s="89">
        <f>L_CViec!AC326</f>
        <v>0</v>
      </c>
      <c r="F354" s="89">
        <f>L_CViec!AD326</f>
        <v>0</v>
      </c>
      <c r="G354" s="89">
        <f>L_CViec!AE326</f>
        <v>0</v>
      </c>
      <c r="H354" s="1086">
        <f>L_CViec!AF326</f>
        <v>0</v>
      </c>
      <c r="I354" s="1086">
        <f>L_CViec!AG326</f>
        <v>0</v>
      </c>
      <c r="J354" s="1086">
        <f>L_CViec!AH326</f>
        <v>0</v>
      </c>
      <c r="K354" s="1086"/>
      <c r="L354" s="1086"/>
      <c r="M354" s="1086"/>
      <c r="N354" s="1086"/>
      <c r="O354" s="1086"/>
      <c r="P354" s="1086"/>
      <c r="Q354" s="1092"/>
      <c r="R354" s="1093"/>
      <c r="S354" s="294"/>
    </row>
    <row r="355" spans="1:19" s="85" customFormat="1" ht="28.9" customHeight="1">
      <c r="A355" s="84" t="str">
        <f>L_CViec!A327</f>
        <v>1</v>
      </c>
      <c r="B355" s="1457" t="str">
        <f>L_CViec!B327</f>
        <v>Cột “ĐM Đất” áp dụng cho trường hợp đăng ký, cấp GCN đối với đất; cột “ĐM TS” áp dụng cho trường hợp đăng ký, cấp GCN đối với tài sản; cột “ĐM Đất + TS” áp dụng đối với trường hợp đăng ký, cấp GCN đối với cả đất và tài sản gắn liền với đất</v>
      </c>
      <c r="C355" s="1457"/>
      <c r="D355" s="1457"/>
      <c r="E355" s="1457"/>
      <c r="F355" s="1457"/>
      <c r="G355" s="1457"/>
      <c r="H355" s="1457"/>
      <c r="I355" s="1457"/>
      <c r="J355" s="1457"/>
      <c r="K355" s="1457"/>
      <c r="L355" s="1457"/>
      <c r="M355" s="1457"/>
      <c r="N355" s="176"/>
      <c r="O355" s="176"/>
      <c r="P355" s="176"/>
      <c r="Q355" s="1002"/>
      <c r="R355" s="294"/>
      <c r="S355" s="294"/>
    </row>
    <row r="356" spans="1:19" s="85" customFormat="1" ht="28.9" customHeight="1">
      <c r="A356" s="84" t="str">
        <f>L_CViec!A328</f>
        <v>2</v>
      </c>
      <c r="B356" s="1457" t="str">
        <f>L_CViec!B328</f>
        <v>Trường hợp nhiều thửa đất nông nghiệp lập chung trong 1 hồ sơ và cấp chung trong một GCN thì ngoài mức được tính ở trên, mỗi thửa đất tăng thêm được tính mức bằng 0,30 lần định mức quy định đối với Mục 2, 3, 4, 5, 6, 7, 8, 9, 10, 11, 12, 13, 14, 18, 19, 20, 21 và 23 các nội dung thực hiện tại địa bàn xã; Mục 1, 2 và 3 các nội dung thực hiện tại địa bàn cấp tỉnh của Bảng này.</v>
      </c>
      <c r="C356" s="1457"/>
      <c r="D356" s="1457"/>
      <c r="E356" s="1457"/>
      <c r="F356" s="1457"/>
      <c r="G356" s="1457"/>
      <c r="H356" s="1457"/>
      <c r="I356" s="1457"/>
      <c r="J356" s="1457"/>
      <c r="K356" s="1457"/>
      <c r="L356" s="1457"/>
      <c r="M356" s="1457"/>
      <c r="N356" s="176"/>
      <c r="O356" s="176"/>
      <c r="P356" s="176"/>
      <c r="Q356" s="1002"/>
      <c r="R356" s="294"/>
      <c r="S356" s="294"/>
    </row>
    <row r="357" spans="1:19" s="85" customFormat="1">
      <c r="A357" s="84" t="str">
        <f>L_CViec!A329</f>
        <v>3</v>
      </c>
      <c r="B357" s="1457" t="str">
        <f>L_CViec!B329</f>
        <v>Trường hợp thửa đất đã cấp GCN mà có thay đổi về mục đích sử dụng đất, ranh giới thửa đất thì áp dụng theo định mức quy định tại Bảng này</v>
      </c>
      <c r="C357" s="1457"/>
      <c r="D357" s="1457"/>
      <c r="E357" s="1457"/>
      <c r="F357" s="1457"/>
      <c r="G357" s="1457"/>
      <c r="H357" s="1457"/>
      <c r="I357" s="1457"/>
      <c r="J357" s="1457"/>
      <c r="K357" s="1457"/>
      <c r="L357" s="1457"/>
      <c r="M357" s="1457"/>
      <c r="N357" s="176"/>
      <c r="O357" s="176"/>
      <c r="P357" s="176"/>
      <c r="Q357" s="1002"/>
      <c r="R357" s="294"/>
      <c r="S357" s="294"/>
    </row>
    <row r="358" spans="1:19" s="85" customFormat="1" ht="28.9" customHeight="1">
      <c r="A358" s="84" t="str">
        <f>L_CViec!A330</f>
        <v>4</v>
      </c>
      <c r="B358" s="1457" t="str">
        <f>L_CViec!B330</f>
        <v>Trường hợp cấp đổi GCN đối với thửa đất có biến động khác về quyền sử dụng đất, tài sản gắn liền với đất (chuyển quyền sử dụng đất, thay đổi về tài sản gắn liền với đất, v.v...) thì định mức lao động quy định tại các mục 2 7, 8, 9, 10, 11, 12, 13, 14, 18, 19, 20, 21 và 23 các nội dung thực hiện tại địa bàn xã Bảng này được tính bằng 1,5 lần</v>
      </c>
      <c r="C358" s="1457"/>
      <c r="D358" s="1457"/>
      <c r="E358" s="1457"/>
      <c r="F358" s="1457"/>
      <c r="G358" s="1457"/>
      <c r="H358" s="1457"/>
      <c r="I358" s="1457"/>
      <c r="J358" s="1457"/>
      <c r="K358" s="1457"/>
      <c r="L358" s="1457"/>
      <c r="M358" s="1457"/>
      <c r="N358" s="176"/>
      <c r="O358" s="176"/>
      <c r="P358" s="176"/>
      <c r="Q358" s="1002"/>
      <c r="R358" s="294"/>
      <c r="S358" s="294"/>
    </row>
    <row r="359" spans="1:19" s="85" customFormat="1">
      <c r="A359" s="84" t="str">
        <f>L_CViec!A331</f>
        <v>5</v>
      </c>
      <c r="B359" s="1457" t="str">
        <f>L_CViec!B331</f>
        <v>Trường hợp cấp đổi GCN đồng thời với thực hiện thủ tục đăng ký biến động đất đai thì áp dụng theo định mức đăng ký biến động đất đai quy định tại Điều 19 Quy định này</v>
      </c>
      <c r="C359" s="1457"/>
      <c r="D359" s="1457"/>
      <c r="E359" s="1457"/>
      <c r="F359" s="1457"/>
      <c r="G359" s="1457"/>
      <c r="H359" s="1457"/>
      <c r="I359" s="1457"/>
      <c r="J359" s="1457"/>
      <c r="K359" s="1457"/>
      <c r="L359" s="1457"/>
      <c r="M359" s="1457"/>
      <c r="N359" s="176"/>
      <c r="O359" s="176"/>
      <c r="P359" s="176"/>
      <c r="Q359" s="1002"/>
      <c r="R359" s="294"/>
      <c r="S359" s="294"/>
    </row>
    <row r="360" spans="1:19" s="85" customFormat="1">
      <c r="A360" s="84">
        <f>L_CViec!A332</f>
        <v>0</v>
      </c>
      <c r="B360" s="1457">
        <f>L_CViec!B332</f>
        <v>0</v>
      </c>
      <c r="C360" s="1457"/>
      <c r="D360" s="1457"/>
      <c r="E360" s="1457"/>
      <c r="F360" s="1457"/>
      <c r="G360" s="1457"/>
      <c r="H360" s="1457"/>
      <c r="I360" s="1457"/>
      <c r="J360" s="1457"/>
      <c r="K360" s="1457"/>
      <c r="L360" s="1457"/>
      <c r="M360" s="1457"/>
      <c r="N360" s="176"/>
      <c r="O360" s="176"/>
      <c r="P360" s="176"/>
      <c r="Q360" s="1002"/>
      <c r="R360" s="294"/>
      <c r="S360" s="294"/>
    </row>
    <row r="361" spans="1:19" s="85" customFormat="1">
      <c r="A361" s="168"/>
      <c r="B361" s="169"/>
      <c r="C361" s="168"/>
      <c r="D361" s="168"/>
      <c r="E361" s="168"/>
      <c r="F361" s="168"/>
      <c r="G361" s="168"/>
      <c r="H361" s="170"/>
      <c r="I361" s="170"/>
      <c r="J361" s="170"/>
      <c r="K361" s="170"/>
      <c r="L361" s="84"/>
    </row>
    <row r="362" spans="1:19" s="37" customFormat="1" ht="14.25">
      <c r="A362" s="609" t="s">
        <v>343</v>
      </c>
      <c r="B362" s="869"/>
      <c r="C362" s="870"/>
      <c r="D362" s="870"/>
      <c r="E362" s="870"/>
      <c r="F362" s="870"/>
      <c r="G362" s="871"/>
      <c r="H362" s="872"/>
      <c r="I362" s="872"/>
      <c r="J362" s="872"/>
      <c r="K362" s="872"/>
    </row>
    <row r="363" spans="1:19" s="31" customFormat="1" ht="15" customHeight="1">
      <c r="A363" s="1426" t="s">
        <v>24</v>
      </c>
      <c r="B363" s="1101" t="s">
        <v>46</v>
      </c>
      <c r="C363" s="1427" t="s">
        <v>39</v>
      </c>
      <c r="D363" s="1102"/>
      <c r="E363" s="1427" t="s">
        <v>17</v>
      </c>
      <c r="F363" s="1102" t="s">
        <v>98</v>
      </c>
      <c r="G363" s="1429" t="s">
        <v>335</v>
      </c>
      <c r="H363" s="1429"/>
      <c r="I363" s="1429"/>
      <c r="J363" s="1428" t="s">
        <v>351</v>
      </c>
      <c r="K363" s="1429" t="s">
        <v>36</v>
      </c>
      <c r="L363" s="1429"/>
      <c r="M363" s="1429"/>
      <c r="N363" s="1456" t="s">
        <v>355</v>
      </c>
      <c r="O363" s="1456"/>
      <c r="P363" s="1456"/>
      <c r="Q363" s="1447" t="s">
        <v>356</v>
      </c>
      <c r="R363" s="1448"/>
      <c r="S363" s="1448"/>
    </row>
    <row r="364" spans="1:19" s="31" customFormat="1" ht="25.5">
      <c r="A364" s="1426"/>
      <c r="B364" s="1101"/>
      <c r="C364" s="1427"/>
      <c r="D364" s="1102"/>
      <c r="E364" s="1427"/>
      <c r="F364" s="1102" t="s">
        <v>25</v>
      </c>
      <c r="G364" s="1103" t="s">
        <v>359</v>
      </c>
      <c r="H364" s="1103" t="s">
        <v>358</v>
      </c>
      <c r="I364" s="1103" t="s">
        <v>357</v>
      </c>
      <c r="J364" s="1429"/>
      <c r="K364" s="1103" t="s">
        <v>359</v>
      </c>
      <c r="L364" s="1103" t="s">
        <v>358</v>
      </c>
      <c r="M364" s="1103" t="s">
        <v>357</v>
      </c>
      <c r="N364" s="1088" t="s">
        <v>359</v>
      </c>
      <c r="O364" s="1088" t="s">
        <v>358</v>
      </c>
      <c r="P364" s="1089" t="s">
        <v>357</v>
      </c>
      <c r="Q364" s="1069" t="s">
        <v>359</v>
      </c>
      <c r="R364" s="451" t="s">
        <v>358</v>
      </c>
      <c r="S364" s="453" t="s">
        <v>357</v>
      </c>
    </row>
    <row r="365" spans="1:19" s="85" customFormat="1" ht="26.45" customHeight="1">
      <c r="A365" s="520" t="str">
        <f>L_CViec!A334</f>
        <v>VI</v>
      </c>
      <c r="B365" s="1425" t="str">
        <f>L_CViec!B334</f>
        <v>Đăng ký, cấp đổi, cấp lại Giấy chứng nhận riêng lẻ đối với tổ chức, tổ chức tôn giáo, tổ chức tôn giáo trực thuộc, tổ chức nước ngoài có chức năng ngoại giao, tổ chức kinh tế có vốn đầu tư nước ngoài, tổ chức nước ngoài, cá nhân nước ngoài</v>
      </c>
      <c r="C365" s="1425"/>
      <c r="D365" s="1425"/>
      <c r="E365" s="1425"/>
      <c r="F365" s="1425"/>
      <c r="G365" s="1425"/>
      <c r="H365" s="1425"/>
      <c r="I365" s="1425"/>
      <c r="J365" s="1425"/>
      <c r="K365" s="1093"/>
      <c r="L365" s="1093"/>
      <c r="M365" s="1093"/>
      <c r="N365" s="1090"/>
      <c r="O365" s="1090"/>
      <c r="P365" s="1090"/>
      <c r="Q365" s="1070"/>
      <c r="R365" s="482"/>
      <c r="S365" s="482"/>
    </row>
    <row r="366" spans="1:19" s="85" customFormat="1" ht="33.75" customHeight="1">
      <c r="A366" s="520" t="str">
        <f>L_CViec!A335</f>
        <v>VI.1</v>
      </c>
      <c r="B366" s="993" t="str">
        <f>L_CViec!B335</f>
        <v>CÁC NỘI DUNG THỰC HIỆN TẠI ĐỊA BÀN CẤP TỈNH</v>
      </c>
      <c r="C366" s="993">
        <f>L_CViec!AB335</f>
        <v>0</v>
      </c>
      <c r="D366" s="993"/>
      <c r="E366" s="993">
        <f>L_CViec!AC335</f>
        <v>0</v>
      </c>
      <c r="F366" s="993">
        <f>L_CViec!AD335</f>
        <v>0</v>
      </c>
      <c r="G366" s="520"/>
      <c r="H366" s="1093"/>
      <c r="I366" s="1093"/>
      <c r="J366" s="1093">
        <f>L_CViec!AH335</f>
        <v>0</v>
      </c>
      <c r="K366" s="1093">
        <f>SUM(K369,K370,K371,K379,K381,K385,K390,K394,K395,K407,K378,K387,K397,K399,K400,K406)</f>
        <v>1322396.0099999998</v>
      </c>
      <c r="L366" s="1093">
        <f t="shared" ref="L366:M366" si="39">SUM(L369,L370,L371,L379,L381,L385,L390,L394,L395,L407,L378,L387,L397,L399,L400,L406)</f>
        <v>1258206.8849999998</v>
      </c>
      <c r="M366" s="1093">
        <f t="shared" si="39"/>
        <v>1810733.5349999999</v>
      </c>
      <c r="N366" s="1090">
        <f t="shared" ref="N366:S366" si="40">SUM(N369,N370,N371,N375,N379,N381,N389,N391,N393,N394,N395,N401,N407,N374,N376,N377,N378,N384,N387)</f>
        <v>81448.497000000018</v>
      </c>
      <c r="O366" s="1090">
        <f t="shared" si="40"/>
        <v>76463.419500000018</v>
      </c>
      <c r="P366" s="1090">
        <f t="shared" si="40"/>
        <v>114963.55650000004</v>
      </c>
      <c r="Q366" s="1071">
        <f t="shared" si="40"/>
        <v>120702.69230769231</v>
      </c>
      <c r="R366" s="166">
        <f t="shared" si="40"/>
        <v>118709.23076923077</v>
      </c>
      <c r="S366" s="166">
        <f t="shared" si="40"/>
        <v>165401.15384615387</v>
      </c>
    </row>
    <row r="367" spans="1:19" s="85" customFormat="1" ht="25.5">
      <c r="A367" s="523" t="str">
        <f>L_CViec!A336</f>
        <v>1</v>
      </c>
      <c r="B367" s="525" t="str">
        <f>L_CViec!B336</f>
        <v>Hướng dẫn lập hồ sơ đề nghị cấp lại hoặc đề nghị cấp đổi GCN</v>
      </c>
      <c r="C367" s="523">
        <f>L_CViec!AB336</f>
        <v>0</v>
      </c>
      <c r="D367" s="523"/>
      <c r="E367" s="523">
        <f>L_CViec!AC336</f>
        <v>0</v>
      </c>
      <c r="F367" s="523">
        <f>L_CViec!AD336</f>
        <v>0</v>
      </c>
      <c r="G367" s="523">
        <f>L_CViec!AE336</f>
        <v>0</v>
      </c>
      <c r="H367" s="879">
        <f>L_CViec!AF336</f>
        <v>0</v>
      </c>
      <c r="I367" s="879">
        <f>L_CViec!AG336</f>
        <v>0</v>
      </c>
      <c r="J367" s="294">
        <f>L_CViec!AH336</f>
        <v>0</v>
      </c>
      <c r="K367" s="294"/>
      <c r="L367" s="294"/>
      <c r="M367" s="294"/>
      <c r="N367" s="1091"/>
      <c r="O367" s="1091"/>
      <c r="P367" s="1091"/>
      <c r="Q367" s="1002"/>
      <c r="R367" s="294"/>
      <c r="S367" s="294"/>
    </row>
    <row r="368" spans="1:19" s="111" customFormat="1">
      <c r="A368" s="523" t="str">
        <f>L_CViec!A337</f>
        <v>1.1</v>
      </c>
      <c r="B368" s="525" t="str">
        <f>L_CViec!B337</f>
        <v>Theo hình thức trực tiếp</v>
      </c>
      <c r="C368" s="523" t="str">
        <f>L_CViec!AB337</f>
        <v>Hồ sơ</v>
      </c>
      <c r="D368" s="523">
        <f>L_CViec!AA337</f>
        <v>1</v>
      </c>
      <c r="E368" s="523" t="str">
        <f>L_CViec!AC337</f>
        <v>1KS2</v>
      </c>
      <c r="F368" s="523" t="str">
        <f>L_CViec!AD337</f>
        <v>1-3</v>
      </c>
      <c r="G368" s="523">
        <f>L_CViec!AE337</f>
        <v>0.25</v>
      </c>
      <c r="H368" s="879">
        <f>L_CViec!AF337</f>
        <v>0.25</v>
      </c>
      <c r="I368" s="879">
        <f>L_CViec!AG337</f>
        <v>0.32500000000000001</v>
      </c>
      <c r="J368" s="294">
        <f>L_CViec!AH337</f>
        <v>296770.5</v>
      </c>
      <c r="K368" s="294">
        <f>G368*$J368</f>
        <v>74192.625</v>
      </c>
      <c r="L368" s="294">
        <f>H368*$J368</f>
        <v>74192.625</v>
      </c>
      <c r="M368" s="294">
        <f>I368*$J368</f>
        <v>96450.412500000006</v>
      </c>
      <c r="N368" s="1091">
        <f>$D368*G368*L_CBac!$J$68</f>
        <v>6391.125</v>
      </c>
      <c r="O368" s="1091">
        <f>$D368*H368*L_CBac!$J$68</f>
        <v>6391.125</v>
      </c>
      <c r="P368" s="1091">
        <f>$D368*I368*L_CBac!$J$68</f>
        <v>8308.4624999999996</v>
      </c>
      <c r="Q368" s="1002">
        <f>$D368*G368*L_CBac!$J$69</f>
        <v>7019.2307692307695</v>
      </c>
      <c r="R368" s="294">
        <f>$D368*H368*L_CBac!$J$69</f>
        <v>7019.2307692307695</v>
      </c>
      <c r="S368" s="294">
        <f>$D368*I368*L_CBac!$J$69</f>
        <v>9125</v>
      </c>
    </row>
    <row r="369" spans="1:19" s="111" customFormat="1">
      <c r="A369" s="523" t="str">
        <f>L_CViec!A338</f>
        <v>1.2</v>
      </c>
      <c r="B369" s="525" t="str">
        <f>L_CViec!B338</f>
        <v>Theo hình thức trực tuyến</v>
      </c>
      <c r="C369" s="523" t="str">
        <f>L_CViec!AB338</f>
        <v>Hồ sơ</v>
      </c>
      <c r="D369" s="523">
        <f>L_CViec!AA338</f>
        <v>1</v>
      </c>
      <c r="E369" s="523" t="str">
        <f>L_CViec!AC338</f>
        <v>1KS2</v>
      </c>
      <c r="F369" s="523" t="str">
        <f>L_CViec!AD338</f>
        <v>1-3</v>
      </c>
      <c r="G369" s="523">
        <f>L_CViec!AE338</f>
        <v>0.2</v>
      </c>
      <c r="H369" s="879">
        <f>L_CViec!AF338</f>
        <v>0.2</v>
      </c>
      <c r="I369" s="879">
        <f>L_CViec!AG338</f>
        <v>0.26</v>
      </c>
      <c r="J369" s="294">
        <f>L_CViec!AH338</f>
        <v>296770.5</v>
      </c>
      <c r="K369" s="294">
        <f t="shared" ref="K369:K383" si="41">G369*$J369</f>
        <v>59354.100000000006</v>
      </c>
      <c r="L369" s="294">
        <f t="shared" ref="L369:L383" si="42">H369*$J369</f>
        <v>59354.100000000006</v>
      </c>
      <c r="M369" s="294">
        <f t="shared" ref="M369:M383" si="43">I369*$J369</f>
        <v>77160.33</v>
      </c>
      <c r="N369" s="1091">
        <f>$D369*G369*L_CBac!$J$68</f>
        <v>5112.9000000000005</v>
      </c>
      <c r="O369" s="1091">
        <f>$D369*H369*L_CBac!$J$68</f>
        <v>5112.9000000000005</v>
      </c>
      <c r="P369" s="1091">
        <f>$D369*I369*L_CBac!$J$68</f>
        <v>6646.77</v>
      </c>
      <c r="Q369" s="1002">
        <f>$D369*G369*L_CBac!$J$69</f>
        <v>5615.3846153846162</v>
      </c>
      <c r="R369" s="294">
        <f>$D369*H369*L_CBac!$J$69</f>
        <v>5615.3846153846162</v>
      </c>
      <c r="S369" s="294">
        <f>$D369*I369*L_CBac!$J$69</f>
        <v>7300.0000000000009</v>
      </c>
    </row>
    <row r="370" spans="1:19" s="85" customFormat="1" ht="38.25">
      <c r="A370" s="523" t="str">
        <f>L_CViec!A339</f>
        <v>2</v>
      </c>
      <c r="B370" s="525" t="str">
        <f>L_CViec!B339</f>
        <v>Nhận, kiểm tra tính đầy đủ của thành phần hồ sơ và cấp Giấy tiếp nhận hồ sơ và hẹn trả kết quả hoặc trả lại hồ sơ, vào sổ theo dõi nhận, trả hồ sơ (theo hình thức trực tiếp, trực tuyến)</v>
      </c>
      <c r="C370" s="523" t="str">
        <f>L_CViec!AB339</f>
        <v>Hồ sơ</v>
      </c>
      <c r="D370" s="523">
        <f>L_CViec!AA339</f>
        <v>1</v>
      </c>
      <c r="E370" s="523" t="str">
        <f>L_CViec!AC339</f>
        <v>1KS2</v>
      </c>
      <c r="F370" s="523" t="str">
        <f>L_CViec!AD339</f>
        <v>1-3</v>
      </c>
      <c r="G370" s="523">
        <f>L_CViec!AE339</f>
        <v>0.2</v>
      </c>
      <c r="H370" s="879">
        <f>L_CViec!AF339</f>
        <v>0.2</v>
      </c>
      <c r="I370" s="879">
        <f>L_CViec!AG339</f>
        <v>0.26</v>
      </c>
      <c r="J370" s="294">
        <f>L_CViec!AH339</f>
        <v>296770.5</v>
      </c>
      <c r="K370" s="294">
        <f t="shared" si="41"/>
        <v>59354.100000000006</v>
      </c>
      <c r="L370" s="294">
        <f t="shared" si="42"/>
        <v>59354.100000000006</v>
      </c>
      <c r="M370" s="294">
        <f t="shared" si="43"/>
        <v>77160.33</v>
      </c>
      <c r="N370" s="1091">
        <f>$D370*G370*L_CBac!$J$68</f>
        <v>5112.9000000000005</v>
      </c>
      <c r="O370" s="1091">
        <f>$D370*H370*L_CBac!$J$68</f>
        <v>5112.9000000000005</v>
      </c>
      <c r="P370" s="1091">
        <f>$D370*I370*L_CBac!$J$68</f>
        <v>6646.77</v>
      </c>
      <c r="Q370" s="1002">
        <f>$D370*G370*L_CBac!$J$69</f>
        <v>5615.3846153846162</v>
      </c>
      <c r="R370" s="294">
        <f>$D370*H370*L_CBac!$J$69</f>
        <v>5615.3846153846162</v>
      </c>
      <c r="S370" s="294">
        <f>$D370*I370*L_CBac!$J$69</f>
        <v>7300.0000000000009</v>
      </c>
    </row>
    <row r="371" spans="1:19" s="85" customFormat="1" ht="25.5">
      <c r="A371" s="523" t="str">
        <f>L_CViec!A340</f>
        <v>3</v>
      </c>
      <c r="B371" s="525" t="str">
        <f>L_CViec!B340</f>
        <v>Tạo tệp (File) dữ liệu hồ sơ số và nhập thông tin do người sử dụng đất quản lý kê khai, đăng ký</v>
      </c>
      <c r="C371" s="523" t="str">
        <f>L_CViec!AB340</f>
        <v>Thửa</v>
      </c>
      <c r="D371" s="523">
        <f>L_CViec!AA340</f>
        <v>1</v>
      </c>
      <c r="E371" s="523" t="str">
        <f>L_CViec!AC340</f>
        <v>1KS3</v>
      </c>
      <c r="F371" s="523" t="str">
        <f>L_CViec!AD340</f>
        <v>1-3</v>
      </c>
      <c r="G371" s="523">
        <f>L_CViec!AE340</f>
        <v>0.107</v>
      </c>
      <c r="H371" s="879">
        <f>L_CViec!AF340</f>
        <v>3.3000000000000002E-2</v>
      </c>
      <c r="I371" s="879">
        <f>L_CViec!AG340</f>
        <v>0.16700000000000001</v>
      </c>
      <c r="J371" s="294">
        <f>L_CViec!AH340</f>
        <v>333450</v>
      </c>
      <c r="K371" s="294">
        <f t="shared" si="41"/>
        <v>35679.15</v>
      </c>
      <c r="L371" s="294">
        <f t="shared" si="42"/>
        <v>11003.85</v>
      </c>
      <c r="M371" s="294">
        <f t="shared" si="43"/>
        <v>55686.15</v>
      </c>
      <c r="N371" s="1091">
        <f>$D371*G371*L_CBac!$J$68</f>
        <v>2735.4014999999999</v>
      </c>
      <c r="O371" s="1091">
        <f>$D371*H371*L_CBac!$J$68</f>
        <v>843.62850000000003</v>
      </c>
      <c r="P371" s="1091">
        <f>$D371*I371*L_CBac!$J$68</f>
        <v>4269.2714999999998</v>
      </c>
      <c r="Q371" s="1002">
        <f>$D371*G371*L_CBac!$J$69</f>
        <v>3004.2307692307695</v>
      </c>
      <c r="R371" s="294">
        <f>$D371*H371*L_CBac!$J$69</f>
        <v>926.53846153846166</v>
      </c>
      <c r="S371" s="294">
        <f>$D371*I371*L_CBac!$J$69</f>
        <v>4688.8461538461543</v>
      </c>
    </row>
    <row r="372" spans="1:19" s="471" customFormat="1" ht="25.5">
      <c r="A372" s="523" t="str">
        <f>L_CViec!A341</f>
        <v>4</v>
      </c>
      <c r="B372" s="525" t="str">
        <f>L_CViec!B341</f>
        <v>Quét giấy tờ pháp lý về quyền sử dụng đất, quyền sở hữu nhà ở và tài sản khác gắn liền với đất</v>
      </c>
      <c r="C372" s="523">
        <f>L_CViec!AB341</f>
        <v>0</v>
      </c>
      <c r="D372" s="523">
        <f>L_CViec!AA341</f>
        <v>0</v>
      </c>
      <c r="E372" s="523">
        <f>L_CViec!AC341</f>
        <v>0</v>
      </c>
      <c r="F372" s="523">
        <f>L_CViec!AD341</f>
        <v>0</v>
      </c>
      <c r="G372" s="523">
        <f>L_CViec!AE341</f>
        <v>0</v>
      </c>
      <c r="H372" s="879">
        <f>L_CViec!AF341</f>
        <v>0</v>
      </c>
      <c r="I372" s="879">
        <f>L_CViec!AG341</f>
        <v>0</v>
      </c>
      <c r="J372" s="294">
        <f>L_CViec!AH341</f>
        <v>0</v>
      </c>
      <c r="K372" s="294">
        <f t="shared" si="41"/>
        <v>0</v>
      </c>
      <c r="L372" s="294">
        <f t="shared" si="42"/>
        <v>0</v>
      </c>
      <c r="M372" s="294">
        <f t="shared" si="43"/>
        <v>0</v>
      </c>
      <c r="N372" s="1091">
        <f>$D372*G372*L_CBac!$J$68</f>
        <v>0</v>
      </c>
      <c r="O372" s="1091">
        <f>$D372*H372*L_CBac!$J$68</f>
        <v>0</v>
      </c>
      <c r="P372" s="1091">
        <f>$D372*I372*L_CBac!$J$68</f>
        <v>0</v>
      </c>
      <c r="Q372" s="1075"/>
      <c r="R372" s="903"/>
      <c r="S372" s="903"/>
    </row>
    <row r="373" spans="1:19" s="471" customFormat="1">
      <c r="A373" s="523" t="str">
        <f>L_CViec!A342</f>
        <v>4.1</v>
      </c>
      <c r="B373" s="525" t="str">
        <f>L_CViec!B342</f>
        <v>Quét trang A3</v>
      </c>
      <c r="C373" s="523" t="str">
        <f>L_CViec!AB342</f>
        <v>Trang</v>
      </c>
      <c r="D373" s="523">
        <f>L_CViec!AA342</f>
        <v>1</v>
      </c>
      <c r="E373" s="523" t="str">
        <f>L_CViec!AC342</f>
        <v>1KS1</v>
      </c>
      <c r="F373" s="523" t="str">
        <f>L_CViec!AD342</f>
        <v>1-3</v>
      </c>
      <c r="G373" s="523">
        <f>L_CViec!AE342</f>
        <v>1.6E-2</v>
      </c>
      <c r="H373" s="879">
        <f>L_CViec!AF342</f>
        <v>0.02</v>
      </c>
      <c r="I373" s="879">
        <f>L_CViec!AG342</f>
        <v>2.4E-2</v>
      </c>
      <c r="J373" s="294">
        <f>L_CViec!AH342</f>
        <v>260091</v>
      </c>
      <c r="K373" s="294">
        <f t="shared" si="41"/>
        <v>4161.4560000000001</v>
      </c>
      <c r="L373" s="294">
        <f t="shared" si="42"/>
        <v>5201.82</v>
      </c>
      <c r="M373" s="294">
        <f t="shared" si="43"/>
        <v>6242.1840000000002</v>
      </c>
      <c r="N373" s="1091">
        <f>$D373*G373*L_CBac!$J$68</f>
        <v>409.03199999999998</v>
      </c>
      <c r="O373" s="1091">
        <f>$D373*H373*L_CBac!$J$68</f>
        <v>511.29</v>
      </c>
      <c r="P373" s="1091">
        <f>$D373*I373*L_CBac!$J$68</f>
        <v>613.548</v>
      </c>
      <c r="Q373" s="1075">
        <f>$D373*G373*L_CBac!$J$69</f>
        <v>449.23076923076928</v>
      </c>
      <c r="R373" s="903">
        <f>$D373*H373*L_CBac!$J$69</f>
        <v>561.53846153846155</v>
      </c>
      <c r="S373" s="903">
        <f>$D373*I373*L_CBac!$J$69</f>
        <v>673.84615384615392</v>
      </c>
    </row>
    <row r="374" spans="1:19" s="471" customFormat="1">
      <c r="A374" s="523" t="str">
        <f>L_CViec!A343</f>
        <v>4.2</v>
      </c>
      <c r="B374" s="525" t="str">
        <f>L_CViec!B343</f>
        <v>Quét trang A4</v>
      </c>
      <c r="C374" s="523" t="str">
        <f>L_CViec!AB343</f>
        <v>Trang</v>
      </c>
      <c r="D374" s="523">
        <f>L_CViec!AA343</f>
        <v>1</v>
      </c>
      <c r="E374" s="523" t="str">
        <f>L_CViec!AC343</f>
        <v>1KS1</v>
      </c>
      <c r="F374" s="523" t="str">
        <f>L_CViec!AD343</f>
        <v>1-3</v>
      </c>
      <c r="G374" s="523">
        <f>L_CViec!AE343</f>
        <v>8.0000000000000002E-3</v>
      </c>
      <c r="H374" s="879">
        <f>L_CViec!AF343</f>
        <v>0.01</v>
      </c>
      <c r="I374" s="879">
        <f>L_CViec!AG343</f>
        <v>1.2E-2</v>
      </c>
      <c r="J374" s="294">
        <f>L_CViec!AH343</f>
        <v>260091</v>
      </c>
      <c r="K374" s="294">
        <f t="shared" si="41"/>
        <v>2080.7280000000001</v>
      </c>
      <c r="L374" s="294">
        <f t="shared" si="42"/>
        <v>2600.91</v>
      </c>
      <c r="M374" s="294">
        <f t="shared" si="43"/>
        <v>3121.0920000000001</v>
      </c>
      <c r="N374" s="1091">
        <f>$D374*G374*L_CBac!$J$68</f>
        <v>204.51599999999999</v>
      </c>
      <c r="O374" s="1091">
        <f>$D374*H374*L_CBac!$J$68</f>
        <v>255.64500000000001</v>
      </c>
      <c r="P374" s="1091">
        <f>$D374*I374*L_CBac!$J$68</f>
        <v>306.774</v>
      </c>
      <c r="Q374" s="1075">
        <f>$D374*G374*L_CBac!$J$69</f>
        <v>224.61538461538464</v>
      </c>
      <c r="R374" s="903">
        <f>$D374*H374*L_CBac!$J$69</f>
        <v>280.76923076923077</v>
      </c>
      <c r="S374" s="903">
        <f>$D374*I374*L_CBac!$J$69</f>
        <v>336.92307692307696</v>
      </c>
    </row>
    <row r="375" spans="1:19" s="85" customFormat="1" ht="25.5">
      <c r="A375" s="523" t="str">
        <f>L_CViec!A344</f>
        <v>5</v>
      </c>
      <c r="B375" s="525" t="str">
        <f>L_CViec!B344</f>
        <v>Xử lý các tệp tin quét thành tệp (File) hồ sơ quét dạng số của thửa đất, lưu trữ dưới khuôn dạng tệp tin PDF</v>
      </c>
      <c r="C375" s="523" t="str">
        <f>L_CViec!AB344</f>
        <v>Trang</v>
      </c>
      <c r="D375" s="523">
        <f>L_CViec!AA344</f>
        <v>1</v>
      </c>
      <c r="E375" s="523" t="str">
        <f>L_CViec!AC344</f>
        <v>1KS1</v>
      </c>
      <c r="F375" s="523" t="str">
        <f>L_CViec!AD344</f>
        <v>1-3</v>
      </c>
      <c r="G375" s="523">
        <f>L_CViec!AE344</f>
        <v>4.0000000000000001E-3</v>
      </c>
      <c r="H375" s="879">
        <f>L_CViec!AF344</f>
        <v>5.0000000000000001E-3</v>
      </c>
      <c r="I375" s="879">
        <f>L_CViec!AG344</f>
        <v>6.0000000000000001E-3</v>
      </c>
      <c r="J375" s="294">
        <f>L_CViec!AH344</f>
        <v>260091</v>
      </c>
      <c r="K375" s="294">
        <f t="shared" si="41"/>
        <v>1040.364</v>
      </c>
      <c r="L375" s="294">
        <f t="shared" si="42"/>
        <v>1300.4549999999999</v>
      </c>
      <c r="M375" s="294">
        <f t="shared" si="43"/>
        <v>1560.546</v>
      </c>
      <c r="N375" s="1091">
        <f>$D375*G375*L_CBac!$J$68</f>
        <v>102.258</v>
      </c>
      <c r="O375" s="1091">
        <f>$D375*H375*L_CBac!$J$68</f>
        <v>127.82250000000001</v>
      </c>
      <c r="P375" s="1091">
        <f>$D375*I375*L_CBac!$J$68</f>
        <v>153.387</v>
      </c>
      <c r="Q375" s="1002">
        <f>$D375*G375*L_CBac!$J$69</f>
        <v>112.30769230769232</v>
      </c>
      <c r="R375" s="294">
        <f>$D375*H375*L_CBac!$J$69</f>
        <v>140.38461538461539</v>
      </c>
      <c r="S375" s="294">
        <f>$D375*I375*L_CBac!$J$69</f>
        <v>168.46153846153848</v>
      </c>
    </row>
    <row r="376" spans="1:19" s="471" customFormat="1">
      <c r="A376" s="523">
        <f>L_CViec!A345</f>
        <v>6</v>
      </c>
      <c r="B376" s="525" t="str">
        <f>L_CViec!B345</f>
        <v>Chuyển hồ sơ đến Văn phòng đăng ký đất đai</v>
      </c>
      <c r="C376" s="523">
        <f>L_CViec!AB345</f>
        <v>0</v>
      </c>
      <c r="D376" s="523">
        <f>L_CViec!AA345</f>
        <v>0</v>
      </c>
      <c r="E376" s="523">
        <f>L_CViec!AC345</f>
        <v>0</v>
      </c>
      <c r="F376" s="523">
        <f>L_CViec!AD345</f>
        <v>0</v>
      </c>
      <c r="G376" s="523">
        <f>L_CViec!AE345</f>
        <v>0</v>
      </c>
      <c r="H376" s="879">
        <f>L_CViec!AF345</f>
        <v>0</v>
      </c>
      <c r="I376" s="879">
        <f>L_CViec!AG345</f>
        <v>0</v>
      </c>
      <c r="J376" s="294">
        <f>L_CViec!AH345</f>
        <v>0</v>
      </c>
      <c r="K376" s="294">
        <f t="shared" si="41"/>
        <v>0</v>
      </c>
      <c r="L376" s="294">
        <f t="shared" si="42"/>
        <v>0</v>
      </c>
      <c r="M376" s="294">
        <f t="shared" si="43"/>
        <v>0</v>
      </c>
      <c r="N376" s="1091">
        <f>$D376*G376*L_CBac!$J$68</f>
        <v>0</v>
      </c>
      <c r="O376" s="1091">
        <f>$D376*H376*L_CBac!$J$68</f>
        <v>0</v>
      </c>
      <c r="P376" s="1091">
        <f>$D376*I376*L_CBac!$J$68</f>
        <v>0</v>
      </c>
      <c r="Q376" s="1075">
        <f>$D376*G376*L_CBac!$J$69</f>
        <v>0</v>
      </c>
      <c r="R376" s="903">
        <f>$D376*H376*L_CBac!$J$69</f>
        <v>0</v>
      </c>
      <c r="S376" s="903">
        <f>$D376*I376*L_CBac!$J$69</f>
        <v>0</v>
      </c>
    </row>
    <row r="377" spans="1:19" s="471" customFormat="1">
      <c r="A377" s="523">
        <f>L_CViec!A346</f>
        <v>6.1</v>
      </c>
      <c r="B377" s="525" t="str">
        <f>L_CViec!B346</f>
        <v>Theo hình thức trực tiếp</v>
      </c>
      <c r="C377" s="523" t="str">
        <f>L_CViec!AB346</f>
        <v>Hồ sơ</v>
      </c>
      <c r="D377" s="523">
        <f>L_CViec!AA346</f>
        <v>1</v>
      </c>
      <c r="E377" s="523" t="str">
        <f>L_CViec!AC346</f>
        <v>1KS2</v>
      </c>
      <c r="F377" s="523" t="str">
        <f>L_CViec!AD346</f>
        <v>1-3</v>
      </c>
      <c r="G377" s="523">
        <f>L_CViec!AE346</f>
        <v>0.05</v>
      </c>
      <c r="H377" s="879">
        <f>L_CViec!AF346</f>
        <v>0.05</v>
      </c>
      <c r="I377" s="879">
        <f>L_CViec!AG346</f>
        <v>0.05</v>
      </c>
      <c r="J377" s="294">
        <f>L_CViec!AH346</f>
        <v>296770.5</v>
      </c>
      <c r="K377" s="294">
        <f t="shared" si="41"/>
        <v>14838.525000000001</v>
      </c>
      <c r="L377" s="294">
        <f t="shared" si="42"/>
        <v>14838.525000000001</v>
      </c>
      <c r="M377" s="294">
        <f t="shared" si="43"/>
        <v>14838.525000000001</v>
      </c>
      <c r="N377" s="1091">
        <f>$D377*G377*L_CBac!$J$68</f>
        <v>1278.2250000000001</v>
      </c>
      <c r="O377" s="1091">
        <f>$D377*H377*L_CBac!$J$68</f>
        <v>1278.2250000000001</v>
      </c>
      <c r="P377" s="1091">
        <f>$D377*I377*L_CBac!$J$68</f>
        <v>1278.2250000000001</v>
      </c>
      <c r="Q377" s="1075">
        <f>$D377*G377*L_CBac!$J$69</f>
        <v>1403.846153846154</v>
      </c>
      <c r="R377" s="903">
        <f>$D377*H377*L_CBac!$J$69</f>
        <v>1403.846153846154</v>
      </c>
      <c r="S377" s="903">
        <f>$D377*I377*L_CBac!$J$69</f>
        <v>1403.846153846154</v>
      </c>
    </row>
    <row r="378" spans="1:19" s="471" customFormat="1">
      <c r="A378" s="523">
        <f>L_CViec!A347</f>
        <v>6.2</v>
      </c>
      <c r="B378" s="525" t="str">
        <f>L_CViec!B347</f>
        <v>Theo hình thức trực tuyến</v>
      </c>
      <c r="C378" s="523" t="str">
        <f>L_CViec!AB347</f>
        <v>Hồ sơ</v>
      </c>
      <c r="D378" s="523">
        <f>L_CViec!AA347</f>
        <v>1</v>
      </c>
      <c r="E378" s="523" t="str">
        <f>L_CViec!AC347</f>
        <v>1KS2</v>
      </c>
      <c r="F378" s="523" t="str">
        <f>L_CViec!AD347</f>
        <v>1-3</v>
      </c>
      <c r="G378" s="523">
        <f>L_CViec!AE347</f>
        <v>0.04</v>
      </c>
      <c r="H378" s="879">
        <f>L_CViec!AF347</f>
        <v>0.04</v>
      </c>
      <c r="I378" s="879">
        <f>L_CViec!AG347</f>
        <v>0.04</v>
      </c>
      <c r="J378" s="294">
        <f>L_CViec!AH347</f>
        <v>296770.5</v>
      </c>
      <c r="K378" s="294">
        <f t="shared" si="41"/>
        <v>11870.82</v>
      </c>
      <c r="L378" s="294">
        <f t="shared" si="42"/>
        <v>11870.82</v>
      </c>
      <c r="M378" s="294">
        <f t="shared" si="43"/>
        <v>11870.82</v>
      </c>
      <c r="N378" s="1091">
        <f>$D378*G378*L_CBac!$J$68</f>
        <v>1022.58</v>
      </c>
      <c r="O378" s="1091">
        <f>$D378*H378*L_CBac!$J$68</f>
        <v>1022.58</v>
      </c>
      <c r="P378" s="1091">
        <f>$D378*I378*L_CBac!$J$68</f>
        <v>1022.58</v>
      </c>
      <c r="Q378" s="1075">
        <f>$D378*G378*L_CBac!$J$69</f>
        <v>1123.0769230769231</v>
      </c>
      <c r="R378" s="903">
        <f>$D378*H378*L_CBac!$J$69</f>
        <v>1123.0769230769231</v>
      </c>
      <c r="S378" s="903">
        <f>$D378*I378*L_CBac!$J$69</f>
        <v>1123.0769230769231</v>
      </c>
    </row>
    <row r="379" spans="1:19" s="85" customFormat="1" ht="25.5">
      <c r="A379" s="523" t="str">
        <f>L_CViec!A348</f>
        <v>7</v>
      </c>
      <c r="B379" s="525" t="str">
        <f>L_CViec!B348</f>
        <v>Kiểm tra hồ sơ đề nghị đăng ký, cấp đổi, cấp lại Giấy chứng nhận</v>
      </c>
      <c r="C379" s="523" t="str">
        <f>L_CViec!AB348</f>
        <v>Hồ sơ</v>
      </c>
      <c r="D379" s="523">
        <f>L_CViec!AA348</f>
        <v>1</v>
      </c>
      <c r="E379" s="523" t="str">
        <f>L_CViec!AC348</f>
        <v>1KS4</v>
      </c>
      <c r="F379" s="523" t="str">
        <f>L_CViec!AD348</f>
        <v>1-3</v>
      </c>
      <c r="G379" s="523">
        <f>L_CViec!AE348</f>
        <v>1</v>
      </c>
      <c r="H379" s="879">
        <f>L_CViec!AF348</f>
        <v>1</v>
      </c>
      <c r="I379" s="879">
        <f>L_CViec!AG348</f>
        <v>1.3</v>
      </c>
      <c r="J379" s="294">
        <f>L_CViec!AH348</f>
        <v>370129.5</v>
      </c>
      <c r="K379" s="294">
        <f t="shared" si="41"/>
        <v>370129.5</v>
      </c>
      <c r="L379" s="294">
        <f t="shared" si="42"/>
        <v>370129.5</v>
      </c>
      <c r="M379" s="294">
        <f t="shared" si="43"/>
        <v>481168.35000000003</v>
      </c>
      <c r="N379" s="1091">
        <f>$D379*G379*L_CBac!$J$68</f>
        <v>25564.5</v>
      </c>
      <c r="O379" s="1091">
        <f>$D379*H379*L_CBac!$J$68</f>
        <v>25564.5</v>
      </c>
      <c r="P379" s="1091">
        <f>$D379*I379*L_CBac!$J$68</f>
        <v>33233.85</v>
      </c>
      <c r="Q379" s="1002">
        <f>$D379*G379*L_CBac!$J$69</f>
        <v>28076.923076923078</v>
      </c>
      <c r="R379" s="294">
        <f>$D379*H379*L_CBac!$J$69</f>
        <v>28076.923076923078</v>
      </c>
      <c r="S379" s="294">
        <f>$D379*I379*L_CBac!$J$69</f>
        <v>36500</v>
      </c>
    </row>
    <row r="380" spans="1:19" s="85" customFormat="1">
      <c r="A380" s="523" t="str">
        <f>L_CViec!A349</f>
        <v>7.1</v>
      </c>
      <c r="B380" s="525" t="str">
        <f>L_CViec!B349</f>
        <v>Trường hợp cấp đổi Giấy chứng nhận:</v>
      </c>
      <c r="C380" s="523">
        <f>L_CViec!AB349</f>
        <v>0</v>
      </c>
      <c r="D380" s="523">
        <f>L_CViec!AA349</f>
        <v>0</v>
      </c>
      <c r="E380" s="523">
        <f>L_CViec!AC349</f>
        <v>0</v>
      </c>
      <c r="F380" s="523">
        <f>L_CViec!AD349</f>
        <v>0</v>
      </c>
      <c r="G380" s="523">
        <f>L_CViec!AE349</f>
        <v>0</v>
      </c>
      <c r="H380" s="879">
        <f>L_CViec!AF349</f>
        <v>0</v>
      </c>
      <c r="I380" s="879">
        <f>L_CViec!AG349</f>
        <v>0</v>
      </c>
      <c r="J380" s="294">
        <f>L_CViec!AH349</f>
        <v>0</v>
      </c>
      <c r="K380" s="294">
        <f t="shared" si="41"/>
        <v>0</v>
      </c>
      <c r="L380" s="294">
        <f t="shared" si="42"/>
        <v>0</v>
      </c>
      <c r="M380" s="294">
        <f t="shared" si="43"/>
        <v>0</v>
      </c>
      <c r="N380" s="1091">
        <f>$D380*G380*L_CBac!$J$68</f>
        <v>0</v>
      </c>
      <c r="O380" s="1091">
        <f>$D380*H380*L_CBac!$J$68</f>
        <v>0</v>
      </c>
      <c r="P380" s="1091">
        <f>$D380*I380*L_CBac!$J$68</f>
        <v>0</v>
      </c>
      <c r="Q380" s="1002"/>
      <c r="R380" s="294"/>
      <c r="S380" s="294"/>
    </row>
    <row r="381" spans="1:19" s="85" customFormat="1" ht="51">
      <c r="A381" s="523" t="str">
        <f>L_CViec!A350</f>
        <v>7.1.1</v>
      </c>
      <c r="B381" s="525" t="str">
        <f>L_CViec!B350</f>
        <v>Kiểm tra thực địa và đối chiếu với hồ sơ đăng ký, cấp Giấy chứng nhận đã cấp để xác định đúng vị trí thửa đất (đối với trường hợp vị trí thửa đất trên Giấy chứng nhận đã cấp không chính xác so với vị trí thực tế sử dụng đất)</v>
      </c>
      <c r="C381" s="523" t="str">
        <f>L_CViec!AB350</f>
        <v>Hồ sơ</v>
      </c>
      <c r="D381" s="523">
        <f>L_CViec!AA350</f>
        <v>2</v>
      </c>
      <c r="E381" s="523" t="str">
        <f>L_CViec!AC350</f>
        <v>Nhóm 2 (1KS3, 1KS2)</v>
      </c>
      <c r="F381" s="523" t="str">
        <f>L_CViec!AD350</f>
        <v>1-3</v>
      </c>
      <c r="G381" s="523">
        <f>L_CViec!AE350</f>
        <v>0.5</v>
      </c>
      <c r="H381" s="879">
        <f>L_CViec!AF350</f>
        <v>0.5</v>
      </c>
      <c r="I381" s="879">
        <f>L_CViec!AG350</f>
        <v>0.8</v>
      </c>
      <c r="J381" s="294">
        <f>L_CViec!AH350</f>
        <v>630220.5</v>
      </c>
      <c r="K381" s="294">
        <f t="shared" si="41"/>
        <v>315110.25</v>
      </c>
      <c r="L381" s="294">
        <f t="shared" si="42"/>
        <v>315110.25</v>
      </c>
      <c r="M381" s="294">
        <f t="shared" si="43"/>
        <v>504176.4</v>
      </c>
      <c r="N381" s="1091">
        <f>$D381*G381*L_CBac!$J$68</f>
        <v>25564.5</v>
      </c>
      <c r="O381" s="1091">
        <f>$D381*H381*L_CBac!$J$68</f>
        <v>25564.5</v>
      </c>
      <c r="P381" s="1091">
        <f>$D381*I381*L_CBac!$J$68</f>
        <v>40903.200000000004</v>
      </c>
      <c r="Q381" s="1002">
        <f>$D381*G381*L_CBac!$J$69</f>
        <v>28076.923076923078</v>
      </c>
      <c r="R381" s="294">
        <f>$D381*H381*L_CBac!$J$69</f>
        <v>28076.923076923078</v>
      </c>
      <c r="S381" s="294">
        <f>$D381*I381*L_CBac!$J$69</f>
        <v>44923.076923076929</v>
      </c>
    </row>
    <row r="382" spans="1:19" s="85" customFormat="1">
      <c r="A382" s="523">
        <f>L_CViec!A351</f>
        <v>7.2</v>
      </c>
      <c r="B382" s="525" t="str">
        <f>L_CViec!B351</f>
        <v>Trường hợp cấp lại Giấy chứng nhận</v>
      </c>
      <c r="C382" s="523">
        <f>L_CViec!AB351</f>
        <v>0</v>
      </c>
      <c r="D382" s="523">
        <f>L_CViec!AA351</f>
        <v>0</v>
      </c>
      <c r="E382" s="523">
        <f>L_CViec!AC351</f>
        <v>0</v>
      </c>
      <c r="F382" s="523">
        <f>L_CViec!AD351</f>
        <v>0</v>
      </c>
      <c r="G382" s="523">
        <f>L_CViec!AE351</f>
        <v>0</v>
      </c>
      <c r="H382" s="879">
        <f>L_CViec!AF351</f>
        <v>0</v>
      </c>
      <c r="I382" s="879">
        <f>L_CViec!AG351</f>
        <v>0</v>
      </c>
      <c r="J382" s="294">
        <f>L_CViec!AH351</f>
        <v>0</v>
      </c>
      <c r="K382" s="294">
        <f t="shared" si="41"/>
        <v>0</v>
      </c>
      <c r="L382" s="294">
        <f t="shared" si="42"/>
        <v>0</v>
      </c>
      <c r="M382" s="294">
        <f t="shared" si="43"/>
        <v>0</v>
      </c>
      <c r="N382" s="1091">
        <f>$D382*G382*L_CBac!$J$68</f>
        <v>0</v>
      </c>
      <c r="O382" s="1091">
        <f>$D382*H382*L_CBac!$J$68</f>
        <v>0</v>
      </c>
      <c r="P382" s="1091">
        <f>$D382*I382*L_CBac!$J$68</f>
        <v>0</v>
      </c>
      <c r="Q382" s="1002">
        <f>$D382*G382*L_CBac!$J$69</f>
        <v>0</v>
      </c>
      <c r="R382" s="294">
        <f>$D382*H382*L_CBac!$J$69</f>
        <v>0</v>
      </c>
      <c r="S382" s="294">
        <f>$D382*I382*L_CBac!$J$69</f>
        <v>0</v>
      </c>
    </row>
    <row r="383" spans="1:19" s="471" customFormat="1" ht="38.25">
      <c r="A383" s="523" t="str">
        <f>L_CViec!A352</f>
        <v>7.2.1</v>
      </c>
      <c r="B383" s="525" t="str">
        <f>L_CViec!B352</f>
        <v>Thông báo, trả lại hồ sơ cho người sử dụng đất, chủ sở hữu tài sản gắn liền với đất đối với trường hợp không đủ điều kiện thực hiện thủ tục đăng ký</v>
      </c>
      <c r="C383" s="523" t="str">
        <f>L_CViec!AB352</f>
        <v>Hồ sơ</v>
      </c>
      <c r="D383" s="523">
        <f>L_CViec!AA352</f>
        <v>1</v>
      </c>
      <c r="E383" s="523" t="str">
        <f>L_CViec!AC352</f>
        <v>1KS3</v>
      </c>
      <c r="F383" s="523" t="str">
        <f>L_CViec!AD352</f>
        <v>1-3</v>
      </c>
      <c r="G383" s="523">
        <f>L_CViec!AE352</f>
        <v>0.5</v>
      </c>
      <c r="H383" s="879">
        <f>L_CViec!AF352</f>
        <v>0.5</v>
      </c>
      <c r="I383" s="879">
        <f>L_CViec!AG352</f>
        <v>0.65</v>
      </c>
      <c r="J383" s="294">
        <f>L_CViec!AH352</f>
        <v>333450</v>
      </c>
      <c r="K383" s="294">
        <f t="shared" si="41"/>
        <v>166725</v>
      </c>
      <c r="L383" s="294">
        <f t="shared" si="42"/>
        <v>166725</v>
      </c>
      <c r="M383" s="294">
        <f t="shared" si="43"/>
        <v>216742.5</v>
      </c>
      <c r="N383" s="1091">
        <f>$D383*G383*L_CBac!$J$68</f>
        <v>12782.25</v>
      </c>
      <c r="O383" s="1091">
        <f>$D383*H383*L_CBac!$J$68</f>
        <v>12782.25</v>
      </c>
      <c r="P383" s="1091">
        <f>$D383*I383*L_CBac!$J$68</f>
        <v>16616.924999999999</v>
      </c>
      <c r="Q383" s="1075"/>
      <c r="R383" s="903"/>
      <c r="S383" s="903"/>
    </row>
    <row r="384" spans="1:19" s="471" customFormat="1" ht="38.25">
      <c r="A384" s="523" t="str">
        <f>L_CViec!A353</f>
        <v>7.2.2</v>
      </c>
      <c r="B384" s="525" t="str">
        <f>L_CViec!B353</f>
        <v>Thông báo việc đăng tin 03 lần trên phương tiện thông tin đại chúng ở địa phương trong thời gian 15 ngày về việc mất Giấy chứng nhận đã cấp</v>
      </c>
      <c r="C384" s="523" t="str">
        <f>L_CViec!AB353</f>
        <v>Hồ sơ</v>
      </c>
      <c r="D384" s="523">
        <f>L_CViec!AA353</f>
        <v>1</v>
      </c>
      <c r="E384" s="523" t="str">
        <f>L_CViec!AC353</f>
        <v>1KS3</v>
      </c>
      <c r="F384" s="523" t="str">
        <f>L_CViec!AD353</f>
        <v>1-3</v>
      </c>
      <c r="G384" s="523">
        <f>L_CViec!AE353</f>
        <v>0.2</v>
      </c>
      <c r="H384" s="879">
        <f>L_CViec!AF353</f>
        <v>0.2</v>
      </c>
      <c r="I384" s="879">
        <f>L_CViec!AG353</f>
        <v>0.3</v>
      </c>
      <c r="J384" s="294">
        <f>L_CViec!AH353</f>
        <v>333450</v>
      </c>
      <c r="K384" s="294">
        <f t="shared" ref="K384:K407" si="44">G384*$J384</f>
        <v>66690</v>
      </c>
      <c r="L384" s="294">
        <f t="shared" ref="L384:L407" si="45">H384*$J384</f>
        <v>66690</v>
      </c>
      <c r="M384" s="294">
        <f t="shared" ref="M384:M407" si="46">I384*$J384</f>
        <v>100035</v>
      </c>
      <c r="N384" s="1091">
        <f>$D384*G384*L_CBac!$J$68</f>
        <v>5112.9000000000005</v>
      </c>
      <c r="O384" s="1091">
        <f>$D384*H384*L_CBac!$J$68</f>
        <v>5112.9000000000005</v>
      </c>
      <c r="P384" s="1091">
        <f>$D384*I384*L_CBac!$J$68</f>
        <v>7669.3499999999995</v>
      </c>
      <c r="Q384" s="1075">
        <f>$D384*G384*L_CBac!$J$69</f>
        <v>5615.3846153846162</v>
      </c>
      <c r="R384" s="903">
        <f>$D384*H384*L_CBac!$J$69</f>
        <v>5615.3846153846162</v>
      </c>
      <c r="S384" s="903">
        <f>$D384*I384*L_CBac!$J$69</f>
        <v>8423.0769230769238</v>
      </c>
    </row>
    <row r="385" spans="1:19" s="471" customFormat="1" ht="25.5">
      <c r="A385" s="523" t="str">
        <f>L_CViec!A354</f>
        <v>8</v>
      </c>
      <c r="B385" s="525" t="str">
        <f>L_CViec!B354</f>
        <v>Nhập ý kiến nội dung xác nhận của cấp tỉnh vào tệp (File) dữ liệu hồ sơ số</v>
      </c>
      <c r="C385" s="523" t="str">
        <f>L_CViec!AB354</f>
        <v>Thửa</v>
      </c>
      <c r="D385" s="523">
        <f>L_CViec!AA354</f>
        <v>1</v>
      </c>
      <c r="E385" s="523" t="str">
        <f>L_CViec!AC354</f>
        <v>1KS3</v>
      </c>
      <c r="F385" s="523" t="str">
        <f>L_CViec!AD354</f>
        <v>1-3</v>
      </c>
      <c r="G385" s="523">
        <f>L_CViec!AE354</f>
        <v>6.0000000000000001E-3</v>
      </c>
      <c r="H385" s="879">
        <f>L_CViec!AF354</f>
        <v>6.0000000000000001E-3</v>
      </c>
      <c r="I385" s="879">
        <f>L_CViec!AG354</f>
        <v>6.0000000000000001E-3</v>
      </c>
      <c r="J385" s="294">
        <f>L_CViec!AH354</f>
        <v>333450</v>
      </c>
      <c r="K385" s="294">
        <f t="shared" si="44"/>
        <v>2000.7</v>
      </c>
      <c r="L385" s="294">
        <f t="shared" si="45"/>
        <v>2000.7</v>
      </c>
      <c r="M385" s="294">
        <f t="shared" si="46"/>
        <v>2000.7</v>
      </c>
      <c r="N385" s="1091">
        <f>$D385*G385*L_CBac!$J$68</f>
        <v>153.387</v>
      </c>
      <c r="O385" s="1091">
        <f>$D385*H385*L_CBac!$J$68</f>
        <v>153.387</v>
      </c>
      <c r="P385" s="1091">
        <f>$D385*I385*L_CBac!$J$68</f>
        <v>153.387</v>
      </c>
      <c r="Q385" s="1075">
        <f>$D385*G385*L_CBac!$J$69</f>
        <v>168.46153846153848</v>
      </c>
      <c r="R385" s="903">
        <f>$D385*H385*L_CBac!$J$69</f>
        <v>168.46153846153848</v>
      </c>
      <c r="S385" s="903">
        <f>$D385*I385*L_CBac!$J$69</f>
        <v>168.46153846153848</v>
      </c>
    </row>
    <row r="386" spans="1:19" s="471" customFormat="1">
      <c r="A386" s="523" t="str">
        <f>L_CViec!A355</f>
        <v>9</v>
      </c>
      <c r="B386" s="525" t="str">
        <f>L_CViec!B355</f>
        <v>Trích lục bản đồ địa chính hoặc trích đo bản đồ địa chính</v>
      </c>
      <c r="C386" s="523">
        <f>L_CViec!AB355</f>
        <v>0</v>
      </c>
      <c r="D386" s="523">
        <f>L_CViec!AA355</f>
        <v>0</v>
      </c>
      <c r="E386" s="523">
        <f>L_CViec!AC355</f>
        <v>0</v>
      </c>
      <c r="F386" s="523">
        <f>L_CViec!AD355</f>
        <v>0</v>
      </c>
      <c r="G386" s="523">
        <f>L_CViec!AE355</f>
        <v>0</v>
      </c>
      <c r="H386" s="879">
        <f>L_CViec!AF355</f>
        <v>0</v>
      </c>
      <c r="I386" s="879">
        <f>L_CViec!AG355</f>
        <v>0</v>
      </c>
      <c r="J386" s="294">
        <f>L_CViec!AH355</f>
        <v>0</v>
      </c>
      <c r="K386" s="294">
        <f t="shared" si="44"/>
        <v>0</v>
      </c>
      <c r="L386" s="294">
        <f t="shared" si="45"/>
        <v>0</v>
      </c>
      <c r="M386" s="294">
        <f t="shared" si="46"/>
        <v>0</v>
      </c>
      <c r="N386" s="1091">
        <f>$D386*G386*L_CBac!$J$68</f>
        <v>0</v>
      </c>
      <c r="O386" s="1091">
        <f>$D386*H386*L_CBac!$J$68</f>
        <v>0</v>
      </c>
      <c r="P386" s="1091">
        <f>$D386*I386*L_CBac!$J$68</f>
        <v>0</v>
      </c>
      <c r="Q386" s="1075"/>
      <c r="R386" s="903"/>
      <c r="S386" s="903"/>
    </row>
    <row r="387" spans="1:19" s="471" customFormat="1">
      <c r="A387" s="523" t="str">
        <f>L_CViec!A356</f>
        <v>9.1</v>
      </c>
      <c r="B387" s="525" t="str">
        <f>L_CViec!B356</f>
        <v>Trích lục trên bản đồ dạng số</v>
      </c>
      <c r="C387" s="523" t="str">
        <f>L_CViec!AB356</f>
        <v>Hồ sơ</v>
      </c>
      <c r="D387" s="523">
        <f>L_CViec!AA356</f>
        <v>1</v>
      </c>
      <c r="E387" s="523" t="str">
        <f>L_CViec!AC356</f>
        <v>1KS2</v>
      </c>
      <c r="F387" s="523" t="str">
        <f>L_CViec!AD356</f>
        <v>1-3</v>
      </c>
      <c r="G387" s="523">
        <f>L_CViec!AE356</f>
        <v>0.05</v>
      </c>
      <c r="H387" s="879">
        <f>L_CViec!AF356</f>
        <v>0</v>
      </c>
      <c r="I387" s="879">
        <f>L_CViec!AG356</f>
        <v>0.05</v>
      </c>
      <c r="J387" s="294">
        <f>L_CViec!AH356</f>
        <v>296770.5</v>
      </c>
      <c r="K387" s="294">
        <f t="shared" si="44"/>
        <v>14838.525000000001</v>
      </c>
      <c r="L387" s="294">
        <f t="shared" si="45"/>
        <v>0</v>
      </c>
      <c r="M387" s="294">
        <f t="shared" si="46"/>
        <v>14838.525000000001</v>
      </c>
      <c r="N387" s="1091">
        <f>$D387*G387*L_CBac!$J$68</f>
        <v>1278.2250000000001</v>
      </c>
      <c r="O387" s="1091">
        <f>$D387*H387*L_CBac!$J$68</f>
        <v>0</v>
      </c>
      <c r="P387" s="1091">
        <f>$D387*I387*L_CBac!$J$68</f>
        <v>1278.2250000000001</v>
      </c>
      <c r="Q387" s="1075">
        <f>$D387*G387*L_CBac!$J$69</f>
        <v>1403.846153846154</v>
      </c>
      <c r="R387" s="903">
        <f>$D387*H387*L_CBac!$J$69</f>
        <v>0</v>
      </c>
      <c r="S387" s="903">
        <f>$D387*I387*L_CBac!$J$69</f>
        <v>1403.846153846154</v>
      </c>
    </row>
    <row r="388" spans="1:19" s="471" customFormat="1">
      <c r="A388" s="523" t="str">
        <f>L_CViec!A357</f>
        <v>9.2</v>
      </c>
      <c r="B388" s="525" t="str">
        <f>L_CViec!B357</f>
        <v>Trích lục trên bản đồ dạng giấy</v>
      </c>
      <c r="C388" s="523" t="str">
        <f>L_CViec!AB357</f>
        <v>Hồ sơ</v>
      </c>
      <c r="D388" s="523">
        <f>L_CViec!AA357</f>
        <v>1</v>
      </c>
      <c r="E388" s="523" t="str">
        <f>L_CViec!AC357</f>
        <v>1KS2</v>
      </c>
      <c r="F388" s="523" t="str">
        <f>L_CViec!AD357</f>
        <v>1-3</v>
      </c>
      <c r="G388" s="523">
        <f>L_CViec!AE357</f>
        <v>0.1</v>
      </c>
      <c r="H388" s="879">
        <f>L_CViec!AF357</f>
        <v>0</v>
      </c>
      <c r="I388" s="879">
        <f>L_CViec!AG357</f>
        <v>0.1</v>
      </c>
      <c r="J388" s="294">
        <f>L_CViec!AH357</f>
        <v>296770.5</v>
      </c>
      <c r="K388" s="294">
        <f t="shared" si="44"/>
        <v>29677.050000000003</v>
      </c>
      <c r="L388" s="294">
        <f t="shared" si="45"/>
        <v>0</v>
      </c>
      <c r="M388" s="294">
        <f t="shared" si="46"/>
        <v>29677.050000000003</v>
      </c>
      <c r="N388" s="1091">
        <f>$D388*G388*L_CBac!$J$68</f>
        <v>2556.4500000000003</v>
      </c>
      <c r="O388" s="1091">
        <f>$D388*H388*L_CBac!$J$68</f>
        <v>0</v>
      </c>
      <c r="P388" s="1091">
        <f>$D388*I388*L_CBac!$J$68</f>
        <v>2556.4500000000003</v>
      </c>
      <c r="Q388" s="1075">
        <f>$D388*G388*L_CBac!$J$69</f>
        <v>2807.6923076923081</v>
      </c>
      <c r="R388" s="903">
        <f>$D388*H388*L_CBac!$J$69</f>
        <v>0</v>
      </c>
      <c r="S388" s="903">
        <f>$D388*I388*L_CBac!$J$69</f>
        <v>2807.6923076923081</v>
      </c>
    </row>
    <row r="389" spans="1:19" s="85" customFormat="1" ht="25.5">
      <c r="A389" s="523">
        <f>L_CViec!A358</f>
        <v>10</v>
      </c>
      <c r="B389" s="525" t="str">
        <f>L_CViec!B358</f>
        <v>Lập và gửi Phiếu chuyển thông tin để xác định nghĩa vụ tài chính về đất đai (nếu có)</v>
      </c>
      <c r="C389" s="523">
        <f>L_CViec!AB358</f>
        <v>0</v>
      </c>
      <c r="D389" s="523">
        <f>L_CViec!AA358</f>
        <v>0</v>
      </c>
      <c r="E389" s="523">
        <f>L_CViec!AC358</f>
        <v>0</v>
      </c>
      <c r="F389" s="523">
        <f>L_CViec!AD358</f>
        <v>0</v>
      </c>
      <c r="G389" s="523">
        <f>L_CViec!AE358</f>
        <v>0</v>
      </c>
      <c r="H389" s="879">
        <f>L_CViec!AF358</f>
        <v>0</v>
      </c>
      <c r="I389" s="879">
        <f>L_CViec!AG358</f>
        <v>0</v>
      </c>
      <c r="J389" s="294">
        <f>L_CViec!AH358</f>
        <v>0</v>
      </c>
      <c r="K389" s="294">
        <f t="shared" si="44"/>
        <v>0</v>
      </c>
      <c r="L389" s="294">
        <f t="shared" si="45"/>
        <v>0</v>
      </c>
      <c r="M389" s="294">
        <f t="shared" si="46"/>
        <v>0</v>
      </c>
      <c r="N389" s="1091">
        <f>$D389*G389*L_CBac!$J$68</f>
        <v>0</v>
      </c>
      <c r="O389" s="1091">
        <f>$D389*H389*L_CBac!$J$68</f>
        <v>0</v>
      </c>
      <c r="P389" s="1091">
        <f>$D389*I389*L_CBac!$J$68</f>
        <v>0</v>
      </c>
      <c r="Q389" s="1002">
        <f>$D389*G389*L_CBac!$J$69</f>
        <v>0</v>
      </c>
      <c r="R389" s="294">
        <f>$D389*H389*L_CBac!$J$69</f>
        <v>0</v>
      </c>
      <c r="S389" s="294">
        <f>$D389*I389*L_CBac!$J$69</f>
        <v>0</v>
      </c>
    </row>
    <row r="390" spans="1:19" s="85" customFormat="1">
      <c r="A390" s="523">
        <f>L_CViec!A359</f>
        <v>10.1</v>
      </c>
      <c r="B390" s="525" t="str">
        <f>L_CViec!B359</f>
        <v>Chuyển thông tin theo hình thức liên thông</v>
      </c>
      <c r="C390" s="523" t="str">
        <f>L_CViec!AB359</f>
        <v>Hồ sơ</v>
      </c>
      <c r="D390" s="523">
        <f>L_CViec!AA359</f>
        <v>1</v>
      </c>
      <c r="E390" s="523" t="str">
        <f>L_CViec!AC359</f>
        <v>1KS3</v>
      </c>
      <c r="F390" s="523" t="str">
        <f>L_CViec!AD359</f>
        <v>1-3</v>
      </c>
      <c r="G390" s="523">
        <f>L_CViec!AE359</f>
        <v>0.08</v>
      </c>
      <c r="H390" s="879">
        <f>L_CViec!AF359</f>
        <v>0.08</v>
      </c>
      <c r="I390" s="879">
        <f>L_CViec!AG359</f>
        <v>0.1</v>
      </c>
      <c r="J390" s="294">
        <f>L_CViec!AH359</f>
        <v>333450</v>
      </c>
      <c r="K390" s="294">
        <f t="shared" si="44"/>
        <v>26676</v>
      </c>
      <c r="L390" s="294">
        <f t="shared" si="45"/>
        <v>26676</v>
      </c>
      <c r="M390" s="294">
        <f t="shared" si="46"/>
        <v>33345</v>
      </c>
      <c r="N390" s="1091">
        <f>$D390*G390*L_CBac!$J$68</f>
        <v>2045.16</v>
      </c>
      <c r="O390" s="1091">
        <f>$D390*H390*L_CBac!$J$68</f>
        <v>2045.16</v>
      </c>
      <c r="P390" s="1091">
        <f>$D390*I390*L_CBac!$J$68</f>
        <v>2556.4500000000003</v>
      </c>
      <c r="Q390" s="1002"/>
      <c r="R390" s="294"/>
      <c r="S390" s="294"/>
    </row>
    <row r="391" spans="1:19" s="85" customFormat="1">
      <c r="A391" s="523">
        <f>L_CViec!A360</f>
        <v>10.199999999999999</v>
      </c>
      <c r="B391" s="525" t="str">
        <f>L_CViec!B360</f>
        <v>Chuyển thông tin theo hình thức trực tiếp</v>
      </c>
      <c r="C391" s="523" t="str">
        <f>L_CViec!AB360</f>
        <v>Hồ sơ</v>
      </c>
      <c r="D391" s="523">
        <f>L_CViec!AA360</f>
        <v>1</v>
      </c>
      <c r="E391" s="523" t="str">
        <f>L_CViec!AC360</f>
        <v>1KS3</v>
      </c>
      <c r="F391" s="523" t="str">
        <f>L_CViec!AD360</f>
        <v>1-3</v>
      </c>
      <c r="G391" s="523">
        <f>L_CViec!AE360</f>
        <v>0.1</v>
      </c>
      <c r="H391" s="879">
        <f>L_CViec!AF360</f>
        <v>0.1</v>
      </c>
      <c r="I391" s="879">
        <f>L_CViec!AG360</f>
        <v>0.15</v>
      </c>
      <c r="J391" s="294">
        <f>L_CViec!AH360</f>
        <v>333450</v>
      </c>
      <c r="K391" s="294">
        <f t="shared" si="44"/>
        <v>33345</v>
      </c>
      <c r="L391" s="294">
        <f t="shared" si="45"/>
        <v>33345</v>
      </c>
      <c r="M391" s="294">
        <f t="shared" si="46"/>
        <v>50017.5</v>
      </c>
      <c r="N391" s="1091">
        <f>$D391*G391*L_CBac!$J$68</f>
        <v>2556.4500000000003</v>
      </c>
      <c r="O391" s="1091">
        <f>$D391*H391*L_CBac!$J$68</f>
        <v>2556.4500000000003</v>
      </c>
      <c r="P391" s="1091">
        <f>$D391*I391*L_CBac!$J$68</f>
        <v>3834.6749999999997</v>
      </c>
      <c r="Q391" s="1002">
        <f>$D391*G391*L_CBac!$J$69</f>
        <v>2807.6923076923081</v>
      </c>
      <c r="R391" s="294">
        <f>$D391*H391*L_CBac!$J$69</f>
        <v>2807.6923076923081</v>
      </c>
      <c r="S391" s="294">
        <f>$D391*I391*L_CBac!$J$69</f>
        <v>4211.5384615384619</v>
      </c>
    </row>
    <row r="392" spans="1:19" s="85" customFormat="1" ht="25.5">
      <c r="A392" s="523">
        <f>L_CViec!A361</f>
        <v>11</v>
      </c>
      <c r="B392" s="525" t="str">
        <f>L_CViec!B361</f>
        <v>Nhận thông báo của cơ quan thuế về việc hoàn thành nghĩa vụ tài chính</v>
      </c>
      <c r="C392" s="523">
        <f>L_CViec!AB361</f>
        <v>0</v>
      </c>
      <c r="D392" s="523">
        <f>L_CViec!AA361</f>
        <v>0</v>
      </c>
      <c r="E392" s="523">
        <f>L_CViec!AC361</f>
        <v>0</v>
      </c>
      <c r="F392" s="523">
        <f>L_CViec!AD361</f>
        <v>0</v>
      </c>
      <c r="G392" s="523">
        <f>L_CViec!AE361</f>
        <v>0</v>
      </c>
      <c r="H392" s="879">
        <f>L_CViec!AF361</f>
        <v>0</v>
      </c>
      <c r="I392" s="879">
        <f>L_CViec!AG361</f>
        <v>0</v>
      </c>
      <c r="J392" s="294">
        <f>L_CViec!AH361</f>
        <v>0</v>
      </c>
      <c r="K392" s="294">
        <f t="shared" si="44"/>
        <v>0</v>
      </c>
      <c r="L392" s="294">
        <f t="shared" si="45"/>
        <v>0</v>
      </c>
      <c r="M392" s="294">
        <f t="shared" si="46"/>
        <v>0</v>
      </c>
      <c r="N392" s="1091">
        <f>$D392*G392*L_CBac!$J$68</f>
        <v>0</v>
      </c>
      <c r="O392" s="1091">
        <f>$D392*H392*L_CBac!$J$68</f>
        <v>0</v>
      </c>
      <c r="P392" s="1091">
        <f>$D392*I392*L_CBac!$J$68</f>
        <v>0</v>
      </c>
      <c r="Q392" s="1002">
        <f>$D392*G392*L_CBac!$J$69</f>
        <v>0</v>
      </c>
      <c r="R392" s="294">
        <f>$D392*H392*L_CBac!$J$69</f>
        <v>0</v>
      </c>
      <c r="S392" s="294">
        <f>$D392*I392*L_CBac!$J$69</f>
        <v>0</v>
      </c>
    </row>
    <row r="393" spans="1:19" s="85" customFormat="1" ht="27.75" customHeight="1">
      <c r="A393" s="523">
        <f>L_CViec!A362</f>
        <v>11.1</v>
      </c>
      <c r="B393" s="525" t="str">
        <f>L_CViec!B362</f>
        <v>Chuyển thông tin theo hình thức liên thông</v>
      </c>
      <c r="C393" s="523" t="str">
        <f>L_CViec!AB362</f>
        <v>Hồ sơ</v>
      </c>
      <c r="D393" s="523">
        <f>L_CViec!AA362</f>
        <v>1</v>
      </c>
      <c r="E393" s="523" t="str">
        <f>L_CViec!AC362</f>
        <v>1KS2</v>
      </c>
      <c r="F393" s="523" t="str">
        <f>L_CViec!AD362</f>
        <v>1-3</v>
      </c>
      <c r="G393" s="523">
        <f>L_CViec!AE362</f>
        <v>0.04</v>
      </c>
      <c r="H393" s="879">
        <f>L_CViec!AF362</f>
        <v>0.04</v>
      </c>
      <c r="I393" s="879">
        <f>L_CViec!AG362</f>
        <v>0.04</v>
      </c>
      <c r="J393" s="294">
        <f>L_CViec!AH362</f>
        <v>296770.5</v>
      </c>
      <c r="K393" s="294">
        <f t="shared" si="44"/>
        <v>11870.82</v>
      </c>
      <c r="L393" s="294">
        <f t="shared" si="45"/>
        <v>11870.82</v>
      </c>
      <c r="M393" s="294">
        <f t="shared" si="46"/>
        <v>11870.82</v>
      </c>
      <c r="N393" s="1091">
        <f>$D393*G393*L_CBac!$J$68</f>
        <v>1022.58</v>
      </c>
      <c r="O393" s="1091">
        <f>$D393*H393*L_CBac!$J$68</f>
        <v>1022.58</v>
      </c>
      <c r="P393" s="1091">
        <f>$D393*I393*L_CBac!$J$68</f>
        <v>1022.58</v>
      </c>
      <c r="Q393" s="1002">
        <f>$D393*G393*L_CBac!$J$69</f>
        <v>1123.0769230769231</v>
      </c>
      <c r="R393" s="294">
        <f>$D393*H393*L_CBac!$J$69</f>
        <v>1123.0769230769231</v>
      </c>
      <c r="S393" s="294">
        <f>$D393*I393*L_CBac!$J$69</f>
        <v>1123.0769230769231</v>
      </c>
    </row>
    <row r="394" spans="1:19" s="85" customFormat="1">
      <c r="A394" s="523">
        <f>L_CViec!A363</f>
        <v>11.2</v>
      </c>
      <c r="B394" s="525" t="str">
        <f>L_CViec!B363</f>
        <v>Chuyển thông tin theo hình thức trực tiếp</v>
      </c>
      <c r="C394" s="523" t="str">
        <f>L_CViec!AB363</f>
        <v>Hồ sơ</v>
      </c>
      <c r="D394" s="523">
        <f>L_CViec!AA363</f>
        <v>1</v>
      </c>
      <c r="E394" s="523" t="str">
        <f>L_CViec!AC363</f>
        <v>1KS2</v>
      </c>
      <c r="F394" s="523" t="str">
        <f>L_CViec!AD363</f>
        <v>1-3</v>
      </c>
      <c r="G394" s="523">
        <f>L_CViec!AE363</f>
        <v>0.03</v>
      </c>
      <c r="H394" s="879">
        <f>L_CViec!AF363</f>
        <v>0.03</v>
      </c>
      <c r="I394" s="879">
        <f>L_CViec!AG363</f>
        <v>0.03</v>
      </c>
      <c r="J394" s="294">
        <f>L_CViec!AH363</f>
        <v>296770.5</v>
      </c>
      <c r="K394" s="294">
        <f t="shared" si="44"/>
        <v>8903.1149999999998</v>
      </c>
      <c r="L394" s="294">
        <f t="shared" si="45"/>
        <v>8903.1149999999998</v>
      </c>
      <c r="M394" s="294">
        <f t="shared" si="46"/>
        <v>8903.1149999999998</v>
      </c>
      <c r="N394" s="1091">
        <f>$D394*G394*L_CBac!$J$68</f>
        <v>766.93499999999995</v>
      </c>
      <c r="O394" s="1091">
        <f>$D394*H394*L_CBac!$J$68</f>
        <v>766.93499999999995</v>
      </c>
      <c r="P394" s="1091">
        <f>$D394*I394*L_CBac!$J$68</f>
        <v>766.93499999999995</v>
      </c>
      <c r="Q394" s="1002">
        <f>$D394*G394*L_CBac!$J$69</f>
        <v>842.30769230769226</v>
      </c>
      <c r="R394" s="294">
        <f>$D394*H394*L_CBac!$J$69</f>
        <v>842.30769230769226</v>
      </c>
      <c r="S394" s="294">
        <f>$D394*I394*L_CBac!$J$69</f>
        <v>842.30769230769226</v>
      </c>
    </row>
    <row r="395" spans="1:19" s="85" customFormat="1" ht="25.5">
      <c r="A395" s="523" t="str">
        <f>L_CViec!A364</f>
        <v>12</v>
      </c>
      <c r="B395" s="525" t="str">
        <f>L_CViec!B364</f>
        <v>Nhập thông tin thửa đất, tài sản gắn liền với đất, đăng ký vào hồ sơ địa chính</v>
      </c>
      <c r="C395" s="523" t="str">
        <f>L_CViec!AB364</f>
        <v>Thửa</v>
      </c>
      <c r="D395" s="523">
        <f>L_CViec!AA364</f>
        <v>1</v>
      </c>
      <c r="E395" s="523" t="str">
        <f>L_CViec!AC364</f>
        <v>1KS3</v>
      </c>
      <c r="F395" s="523" t="str">
        <f>L_CViec!AD364</f>
        <v>1-3</v>
      </c>
      <c r="G395" s="523">
        <f>L_CViec!AE364</f>
        <v>0.107</v>
      </c>
      <c r="H395" s="879">
        <f>L_CViec!AF364</f>
        <v>3.3000000000000002E-2</v>
      </c>
      <c r="I395" s="879">
        <f>L_CViec!AG364</f>
        <v>0.16700000000000001</v>
      </c>
      <c r="J395" s="294">
        <f>L_CViec!AH364</f>
        <v>333450</v>
      </c>
      <c r="K395" s="294">
        <f t="shared" si="44"/>
        <v>35679.15</v>
      </c>
      <c r="L395" s="294">
        <f t="shared" si="45"/>
        <v>11003.85</v>
      </c>
      <c r="M395" s="294">
        <f t="shared" si="46"/>
        <v>55686.15</v>
      </c>
      <c r="N395" s="1091">
        <f>$D395*G395*L_CBac!$J$68</f>
        <v>2735.4014999999999</v>
      </c>
      <c r="O395" s="1091">
        <f>$D395*H395*L_CBac!$J$68</f>
        <v>843.62850000000003</v>
      </c>
      <c r="P395" s="1091">
        <f>$D395*I395*L_CBac!$J$68</f>
        <v>4269.2714999999998</v>
      </c>
      <c r="Q395" s="1002">
        <f>Q396+Q399+Q400</f>
        <v>34253.846153846156</v>
      </c>
      <c r="R395" s="294">
        <f>R396+R399+R400</f>
        <v>35657.692307692305</v>
      </c>
      <c r="S395" s="294">
        <f>S396+S399+S400</f>
        <v>43828.076923076922</v>
      </c>
    </row>
    <row r="396" spans="1:19" s="85" customFormat="1">
      <c r="A396" s="523" t="str">
        <f>L_CViec!A365</f>
        <v>13</v>
      </c>
      <c r="B396" s="525" t="str">
        <f>L_CViec!B365</f>
        <v>In GCN</v>
      </c>
      <c r="C396" s="523">
        <f>L_CViec!AB365</f>
        <v>0</v>
      </c>
      <c r="D396" s="523">
        <f>L_CViec!AA365</f>
        <v>0</v>
      </c>
      <c r="E396" s="523">
        <f>L_CViec!AC365</f>
        <v>0</v>
      </c>
      <c r="F396" s="523">
        <f>L_CViec!AD365</f>
        <v>0</v>
      </c>
      <c r="G396" s="523">
        <f>L_CViec!AE365</f>
        <v>0</v>
      </c>
      <c r="H396" s="879">
        <f>L_CViec!AF365</f>
        <v>0</v>
      </c>
      <c r="I396" s="879">
        <f>L_CViec!AG365</f>
        <v>0</v>
      </c>
      <c r="J396" s="294">
        <f>L_CViec!AH365</f>
        <v>0</v>
      </c>
      <c r="K396" s="294">
        <f t="shared" si="44"/>
        <v>0</v>
      </c>
      <c r="L396" s="294">
        <f t="shared" si="45"/>
        <v>0</v>
      </c>
      <c r="M396" s="294">
        <f t="shared" si="46"/>
        <v>0</v>
      </c>
      <c r="N396" s="1091">
        <f>$D396*G396*L_CBac!$J$68</f>
        <v>0</v>
      </c>
      <c r="O396" s="1091">
        <f>$D396*H396*L_CBac!$J$68</f>
        <v>0</v>
      </c>
      <c r="P396" s="1091">
        <f>$D396*I396*L_CBac!$J$68</f>
        <v>0</v>
      </c>
      <c r="Q396" s="1002">
        <f>SUM(Q397:Q398)</f>
        <v>7019.2307692307695</v>
      </c>
      <c r="R396" s="294">
        <f>SUM(R397:R398)</f>
        <v>8423.0769230769238</v>
      </c>
      <c r="S396" s="294">
        <f>SUM(S397:S398)</f>
        <v>8423.0769230769238</v>
      </c>
    </row>
    <row r="397" spans="1:19" s="85" customFormat="1">
      <c r="A397" s="523" t="str">
        <f>L_CViec!A366</f>
        <v>13.1</v>
      </c>
      <c r="B397" s="525" t="str">
        <f>L_CViec!B366</f>
        <v>Trực tiếp từ cơ sở dữ liệu dạng số</v>
      </c>
      <c r="C397" s="523" t="str">
        <f>L_CViec!AB366</f>
        <v>GCN</v>
      </c>
      <c r="D397" s="523">
        <f>L_CViec!AA366</f>
        <v>1</v>
      </c>
      <c r="E397" s="523" t="str">
        <f>L_CViec!AC366</f>
        <v>1KS2</v>
      </c>
      <c r="F397" s="523" t="str">
        <f>L_CViec!AD366</f>
        <v>1-3</v>
      </c>
      <c r="G397" s="523">
        <f>L_CViec!AE366</f>
        <v>0.1</v>
      </c>
      <c r="H397" s="879">
        <f>L_CViec!AF366</f>
        <v>0.1</v>
      </c>
      <c r="I397" s="879">
        <f>L_CViec!AG366</f>
        <v>0.1</v>
      </c>
      <c r="J397" s="294">
        <f>L_CViec!AH366</f>
        <v>296770.5</v>
      </c>
      <c r="K397" s="294">
        <f t="shared" si="44"/>
        <v>29677.050000000003</v>
      </c>
      <c r="L397" s="294">
        <f t="shared" si="45"/>
        <v>29677.050000000003</v>
      </c>
      <c r="M397" s="294">
        <f t="shared" si="46"/>
        <v>29677.050000000003</v>
      </c>
      <c r="N397" s="1091">
        <f>$D397*G397*L_CBac!$J$68</f>
        <v>2556.4500000000003</v>
      </c>
      <c r="O397" s="1091">
        <f>$D397*H397*L_CBac!$J$68</f>
        <v>2556.4500000000003</v>
      </c>
      <c r="P397" s="1091">
        <f>$D397*I397*L_CBac!$J$68</f>
        <v>2556.4500000000003</v>
      </c>
      <c r="Q397" s="1002">
        <f>$D397*G397*L_CBac!$J$69</f>
        <v>2807.6923076923081</v>
      </c>
      <c r="R397" s="294">
        <f>$D397*H397*L_CBac!$J$69</f>
        <v>2807.6923076923081</v>
      </c>
      <c r="S397" s="294">
        <f>$D397*I397*L_CBac!$J$69</f>
        <v>2807.6923076923081</v>
      </c>
    </row>
    <row r="398" spans="1:19" s="85" customFormat="1">
      <c r="A398" s="523" t="str">
        <f>L_CViec!A367</f>
        <v>13.2</v>
      </c>
      <c r="B398" s="525" t="str">
        <f>L_CViec!B367</f>
        <v>Đối với những nơi chưa có bản đồ dạng số</v>
      </c>
      <c r="C398" s="523" t="str">
        <f>L_CViec!AB367</f>
        <v>GCN</v>
      </c>
      <c r="D398" s="523">
        <f>L_CViec!AA367</f>
        <v>1</v>
      </c>
      <c r="E398" s="523" t="str">
        <f>L_CViec!AC367</f>
        <v>1KS2</v>
      </c>
      <c r="F398" s="523" t="str">
        <f>L_CViec!AD367</f>
        <v>1-3</v>
      </c>
      <c r="G398" s="523">
        <f>L_CViec!AE367</f>
        <v>0.15</v>
      </c>
      <c r="H398" s="879">
        <f>L_CViec!AF367</f>
        <v>0.2</v>
      </c>
      <c r="I398" s="879">
        <f>L_CViec!AG367</f>
        <v>0.2</v>
      </c>
      <c r="J398" s="294">
        <f>L_CViec!AH367</f>
        <v>296770.5</v>
      </c>
      <c r="K398" s="294">
        <f t="shared" si="44"/>
        <v>44515.574999999997</v>
      </c>
      <c r="L398" s="294">
        <f t="shared" si="45"/>
        <v>59354.100000000006</v>
      </c>
      <c r="M398" s="294">
        <f t="shared" si="46"/>
        <v>59354.100000000006</v>
      </c>
      <c r="N398" s="1091">
        <f>$D398*G398*L_CBac!$J$68</f>
        <v>3834.6749999999997</v>
      </c>
      <c r="O398" s="1091">
        <f>$D398*H398*L_CBac!$J$68</f>
        <v>5112.9000000000005</v>
      </c>
      <c r="P398" s="1091">
        <f>$D398*I398*L_CBac!$J$68</f>
        <v>5112.9000000000005</v>
      </c>
      <c r="Q398" s="1002">
        <f>$D398*G398*L_CBac!$J$69</f>
        <v>4211.5384615384619</v>
      </c>
      <c r="R398" s="294">
        <f>$D398*H398*L_CBac!$J$69</f>
        <v>5615.3846153846162</v>
      </c>
      <c r="S398" s="294">
        <f>$D398*I398*L_CBac!$J$69</f>
        <v>5615.3846153846162</v>
      </c>
    </row>
    <row r="399" spans="1:19" s="85" customFormat="1" ht="33.4" customHeight="1">
      <c r="A399" s="523" t="str">
        <f>L_CViec!A368</f>
        <v>14</v>
      </c>
      <c r="B399" s="525" t="str">
        <f>L_CViec!B368</f>
        <v>Trích sao số liệu địa chính, quyết định hủy GCN bị mất, cấp đổi, cấp lại GCN, lập sổ theo dõi hồ sơ</v>
      </c>
      <c r="C399" s="523" t="str">
        <f>L_CViec!AB368</f>
        <v>Hồ sơ</v>
      </c>
      <c r="D399" s="523">
        <f>L_CViec!AA368</f>
        <v>1</v>
      </c>
      <c r="E399" s="523" t="str">
        <f>L_CViec!AC368</f>
        <v>1KS3</v>
      </c>
      <c r="F399" s="523" t="str">
        <f>L_CViec!AD368</f>
        <v>1-3</v>
      </c>
      <c r="G399" s="523">
        <f>L_CViec!AE368</f>
        <v>0.5</v>
      </c>
      <c r="H399" s="879">
        <f>L_CViec!AF368</f>
        <v>0.5</v>
      </c>
      <c r="I399" s="879">
        <f>L_CViec!AG368</f>
        <v>0.65</v>
      </c>
      <c r="J399" s="294">
        <f>L_CViec!AH368</f>
        <v>333450</v>
      </c>
      <c r="K399" s="294">
        <f t="shared" si="44"/>
        <v>166725</v>
      </c>
      <c r="L399" s="294">
        <f t="shared" si="45"/>
        <v>166725</v>
      </c>
      <c r="M399" s="294">
        <f t="shared" si="46"/>
        <v>216742.5</v>
      </c>
      <c r="N399" s="1091">
        <f>$D399*G399*L_CBac!$J$68</f>
        <v>12782.25</v>
      </c>
      <c r="O399" s="1091">
        <f>$D399*H399*L_CBac!$J$68</f>
        <v>12782.25</v>
      </c>
      <c r="P399" s="1091">
        <f>$D399*I399*L_CBac!$J$68</f>
        <v>16616.924999999999</v>
      </c>
      <c r="Q399" s="1002">
        <f>$D399*G399*L_CBac!$J$69</f>
        <v>14038.461538461539</v>
      </c>
      <c r="R399" s="294">
        <f>$D399*H399*L_CBac!$J$69</f>
        <v>14038.461538461539</v>
      </c>
      <c r="S399" s="294">
        <f>$D399*I399*L_CBac!$J$69</f>
        <v>18250</v>
      </c>
    </row>
    <row r="400" spans="1:19" s="85" customFormat="1" ht="25.5">
      <c r="A400" s="523" t="str">
        <f>L_CViec!A369</f>
        <v>15</v>
      </c>
      <c r="B400" s="525" t="str">
        <f>L_CViec!B369</f>
        <v>Cập nhật chỉnh lý HSĐC, thu phí, lệ phí, nộp kho bạc; gửi thông báo biến động cho cấp xã, phường</v>
      </c>
      <c r="C400" s="523" t="str">
        <f>L_CViec!AB369</f>
        <v>Hồ sơ</v>
      </c>
      <c r="D400" s="523">
        <f>L_CViec!AA369</f>
        <v>1</v>
      </c>
      <c r="E400" s="523" t="str">
        <f>L_CViec!AC369</f>
        <v>1KS3</v>
      </c>
      <c r="F400" s="523" t="str">
        <f>L_CViec!AD369</f>
        <v>1-3</v>
      </c>
      <c r="G400" s="523">
        <f>L_CViec!AE369</f>
        <v>0.47</v>
      </c>
      <c r="H400" s="879">
        <f>L_CViec!AF369</f>
        <v>0.47</v>
      </c>
      <c r="I400" s="879">
        <f>L_CViec!AG369</f>
        <v>0.61099999999999999</v>
      </c>
      <c r="J400" s="294">
        <f>L_CViec!AH369</f>
        <v>333450</v>
      </c>
      <c r="K400" s="294">
        <f t="shared" si="44"/>
        <v>156721.5</v>
      </c>
      <c r="L400" s="294">
        <f t="shared" si="45"/>
        <v>156721.5</v>
      </c>
      <c r="M400" s="294">
        <f t="shared" si="46"/>
        <v>203737.94999999998</v>
      </c>
      <c r="N400" s="1091">
        <f>$D400*G400*L_CBac!$J$68</f>
        <v>12015.314999999999</v>
      </c>
      <c r="O400" s="1091">
        <f>$D400*H400*L_CBac!$J$68</f>
        <v>12015.314999999999</v>
      </c>
      <c r="P400" s="1091">
        <f>$D400*I400*L_CBac!$J$68</f>
        <v>15619.9095</v>
      </c>
      <c r="Q400" s="1002">
        <f>$D400*G400*L_CBac!$J$69</f>
        <v>13196.153846153846</v>
      </c>
      <c r="R400" s="294">
        <f>$D400*H400*L_CBac!$J$69</f>
        <v>13196.153846153846</v>
      </c>
      <c r="S400" s="294">
        <f>$D400*I400*L_CBac!$J$69</f>
        <v>17155</v>
      </c>
    </row>
    <row r="401" spans="1:19" s="85" customFormat="1" ht="25.5">
      <c r="A401" s="523" t="str">
        <f>L_CViec!A370</f>
        <v>16</v>
      </c>
      <c r="B401" s="525" t="str">
        <f>L_CViec!B370</f>
        <v>Quét giấy tờ pháp lý về quyền sử dụng đất, quyền sở hữu nhà ở và tài sản khác gắn liền với đất</v>
      </c>
      <c r="C401" s="523">
        <f>L_CViec!AB370</f>
        <v>0</v>
      </c>
      <c r="D401" s="523">
        <f>L_CViec!AA370</f>
        <v>0</v>
      </c>
      <c r="E401" s="523">
        <f>L_CViec!AC370</f>
        <v>0</v>
      </c>
      <c r="F401" s="523">
        <f>L_CViec!AD370</f>
        <v>0</v>
      </c>
      <c r="G401" s="523">
        <f>L_CViec!AE370</f>
        <v>0</v>
      </c>
      <c r="H401" s="879">
        <f>L_CViec!AF370</f>
        <v>0</v>
      </c>
      <c r="I401" s="879">
        <f>L_CViec!AG370</f>
        <v>0</v>
      </c>
      <c r="J401" s="294">
        <f>L_CViec!AH370</f>
        <v>0</v>
      </c>
      <c r="K401" s="294">
        <f t="shared" si="44"/>
        <v>0</v>
      </c>
      <c r="L401" s="294">
        <f t="shared" si="45"/>
        <v>0</v>
      </c>
      <c r="M401" s="294">
        <f t="shared" si="46"/>
        <v>0</v>
      </c>
      <c r="N401" s="1091">
        <f>$D401*G401*L_CBac!$J$68</f>
        <v>0</v>
      </c>
      <c r="O401" s="1091">
        <f>$D401*H401*L_CBac!$J$68</f>
        <v>0</v>
      </c>
      <c r="P401" s="1091">
        <f>$D401*I401*L_CBac!$J$68</f>
        <v>0</v>
      </c>
      <c r="Q401" s="1002">
        <f>$D401*G401*L_CBac!$J$69</f>
        <v>0</v>
      </c>
      <c r="R401" s="294">
        <f>$D401*H401*L_CBac!$J$69</f>
        <v>0</v>
      </c>
      <c r="S401" s="294">
        <f>$D401*I401*L_CBac!$J$69</f>
        <v>0</v>
      </c>
    </row>
    <row r="402" spans="1:19" s="85" customFormat="1">
      <c r="A402" s="523" t="str">
        <f>L_CViec!A371</f>
        <v>16.1</v>
      </c>
      <c r="B402" s="525" t="str">
        <f>L_CViec!B371</f>
        <v>Quét trang A3</v>
      </c>
      <c r="C402" s="523" t="str">
        <f>L_CViec!AB371</f>
        <v>Trang</v>
      </c>
      <c r="D402" s="523">
        <f>L_CViec!AA371</f>
        <v>1</v>
      </c>
      <c r="E402" s="523" t="str">
        <f>L_CViec!AC371</f>
        <v>1KS1</v>
      </c>
      <c r="F402" s="523" t="str">
        <f>L_CViec!AD371</f>
        <v>1-3</v>
      </c>
      <c r="G402" s="523">
        <f>L_CViec!AE371</f>
        <v>1.6E-2</v>
      </c>
      <c r="H402" s="879">
        <f>L_CViec!AF371</f>
        <v>1.6E-2</v>
      </c>
      <c r="I402" s="879">
        <f>L_CViec!AG371</f>
        <v>1.6E-2</v>
      </c>
      <c r="J402" s="294">
        <f>L_CViec!AH371</f>
        <v>260091</v>
      </c>
      <c r="K402" s="294">
        <f t="shared" si="44"/>
        <v>4161.4560000000001</v>
      </c>
      <c r="L402" s="294">
        <f t="shared" si="45"/>
        <v>4161.4560000000001</v>
      </c>
      <c r="M402" s="294">
        <f t="shared" si="46"/>
        <v>4161.4560000000001</v>
      </c>
      <c r="N402" s="1091">
        <f>$D402*G402*L_CBac!$J$68</f>
        <v>409.03199999999998</v>
      </c>
      <c r="O402" s="1091">
        <f>$D402*H402*L_CBac!$J$68</f>
        <v>409.03199999999998</v>
      </c>
      <c r="P402" s="1091">
        <f>$D402*I402*L_CBac!$J$68</f>
        <v>409.03199999999998</v>
      </c>
      <c r="Q402" s="1002"/>
      <c r="R402" s="294"/>
      <c r="S402" s="294"/>
    </row>
    <row r="403" spans="1:19" s="85" customFormat="1">
      <c r="A403" s="523" t="str">
        <f>L_CViec!A372</f>
        <v>16.2</v>
      </c>
      <c r="B403" s="525" t="str">
        <f>L_CViec!B372</f>
        <v>Quét trang A4</v>
      </c>
      <c r="C403" s="523" t="str">
        <f>L_CViec!AB372</f>
        <v>Trang</v>
      </c>
      <c r="D403" s="523">
        <f>L_CViec!AA372</f>
        <v>1</v>
      </c>
      <c r="E403" s="523" t="str">
        <f>L_CViec!AC372</f>
        <v>1KS1</v>
      </c>
      <c r="F403" s="523" t="str">
        <f>L_CViec!AD372</f>
        <v>1-3</v>
      </c>
      <c r="G403" s="523">
        <f>L_CViec!AE372</f>
        <v>8.0000000000000002E-3</v>
      </c>
      <c r="H403" s="879">
        <f>L_CViec!AF372</f>
        <v>8.0000000000000002E-3</v>
      </c>
      <c r="I403" s="879">
        <f>L_CViec!AG372</f>
        <v>8.0000000000000002E-3</v>
      </c>
      <c r="J403" s="294">
        <f>L_CViec!AH372</f>
        <v>260091</v>
      </c>
      <c r="K403" s="294">
        <f t="shared" si="44"/>
        <v>2080.7280000000001</v>
      </c>
      <c r="L403" s="294">
        <f t="shared" si="45"/>
        <v>2080.7280000000001</v>
      </c>
      <c r="M403" s="294">
        <f t="shared" si="46"/>
        <v>2080.7280000000001</v>
      </c>
      <c r="N403" s="1091">
        <f>$D403*G403*L_CBac!$J$68</f>
        <v>204.51599999999999</v>
      </c>
      <c r="O403" s="1091">
        <f>$D403*H403*L_CBac!$J$68</f>
        <v>204.51599999999999</v>
      </c>
      <c r="P403" s="1091">
        <f>$D403*I403*L_CBac!$J$68</f>
        <v>204.51599999999999</v>
      </c>
      <c r="Q403" s="1002"/>
      <c r="R403" s="294"/>
      <c r="S403" s="294"/>
    </row>
    <row r="404" spans="1:19" s="85" customFormat="1" ht="25.5">
      <c r="A404" s="523" t="str">
        <f>L_CViec!A373</f>
        <v>17</v>
      </c>
      <c r="B404" s="525" t="str">
        <f>L_CViec!B373</f>
        <v>Xử lý các tệp tin quét thành tệp (File) hồ sơ quét dạng số của thửa đất, lưu trữ dưới khuôn dạng tệp tin PDF</v>
      </c>
      <c r="C404" s="523" t="str">
        <f>L_CViec!AB373</f>
        <v>Trang</v>
      </c>
      <c r="D404" s="523">
        <f>L_CViec!AA373</f>
        <v>1</v>
      </c>
      <c r="E404" s="523" t="str">
        <f>L_CViec!AC373</f>
        <v>1KS1</v>
      </c>
      <c r="F404" s="523" t="str">
        <f>L_CViec!AD373</f>
        <v>1-3</v>
      </c>
      <c r="G404" s="523">
        <f>L_CViec!AE373</f>
        <v>4.0000000000000001E-3</v>
      </c>
      <c r="H404" s="879">
        <f>L_CViec!AF373</f>
        <v>4.0000000000000001E-3</v>
      </c>
      <c r="I404" s="879">
        <f>L_CViec!AG373</f>
        <v>4.0000000000000001E-3</v>
      </c>
      <c r="J404" s="294">
        <f>L_CViec!AH373</f>
        <v>260091</v>
      </c>
      <c r="K404" s="294">
        <f t="shared" si="44"/>
        <v>1040.364</v>
      </c>
      <c r="L404" s="294">
        <f t="shared" si="45"/>
        <v>1040.364</v>
      </c>
      <c r="M404" s="294">
        <f t="shared" si="46"/>
        <v>1040.364</v>
      </c>
      <c r="N404" s="1091">
        <f>$D404*G404*L_CBac!$J$68</f>
        <v>102.258</v>
      </c>
      <c r="O404" s="1091">
        <f>$D404*H404*L_CBac!$J$68</f>
        <v>102.258</v>
      </c>
      <c r="P404" s="1091">
        <f>$D404*I404*L_CBac!$J$68</f>
        <v>102.258</v>
      </c>
      <c r="Q404" s="1002"/>
      <c r="R404" s="294"/>
      <c r="S404" s="294"/>
    </row>
    <row r="405" spans="1:19" s="85" customFormat="1" ht="25.5">
      <c r="A405" s="523" t="str">
        <f>L_CViec!A374</f>
        <v>18</v>
      </c>
      <c r="B405" s="525" t="str">
        <f>L_CViec!B374</f>
        <v>Tạo liên kết hồ sơ quét dạng số với thửa đất trong cơ sở dữ liệu</v>
      </c>
      <c r="C405" s="523" t="str">
        <f>L_CViec!AB374</f>
        <v>Thửa</v>
      </c>
      <c r="D405" s="523">
        <f>L_CViec!AA374</f>
        <v>1</v>
      </c>
      <c r="E405" s="523" t="str">
        <f>L_CViec!AC374</f>
        <v>1KS1</v>
      </c>
      <c r="F405" s="523" t="str">
        <f>L_CViec!AD374</f>
        <v>1-3</v>
      </c>
      <c r="G405" s="523">
        <f>L_CViec!AE374</f>
        <v>0.01</v>
      </c>
      <c r="H405" s="879">
        <f>L_CViec!AF374</f>
        <v>0.01</v>
      </c>
      <c r="I405" s="879">
        <f>L_CViec!AG374</f>
        <v>0.01</v>
      </c>
      <c r="J405" s="294">
        <f>L_CViec!AH374</f>
        <v>260091</v>
      </c>
      <c r="K405" s="294">
        <f t="shared" si="44"/>
        <v>2600.91</v>
      </c>
      <c r="L405" s="294">
        <f t="shared" si="45"/>
        <v>2600.91</v>
      </c>
      <c r="M405" s="294">
        <f t="shared" si="46"/>
        <v>2600.91</v>
      </c>
      <c r="N405" s="1091">
        <f>$D405*G405*L_CBac!$J$68</f>
        <v>255.64500000000001</v>
      </c>
      <c r="O405" s="1091">
        <f>$D405*H405*L_CBac!$J$68</f>
        <v>255.64500000000001</v>
      </c>
      <c r="P405" s="1091">
        <f>$D405*I405*L_CBac!$J$68</f>
        <v>255.64500000000001</v>
      </c>
      <c r="Q405" s="1002"/>
      <c r="R405" s="294"/>
      <c r="S405" s="294"/>
    </row>
    <row r="406" spans="1:19" s="85" customFormat="1" ht="51">
      <c r="A406" s="523" t="str">
        <f>L_CViec!A375</f>
        <v>19</v>
      </c>
      <c r="B406" s="525" t="str">
        <f>L_CViec!B375</f>
        <v>Thông báo danh sách các trường hợp làm thủ tục cấp đổi GCN cho bên nhận thế chấp quyền sử dụng đất, tài sản gắn liền với đất; xác nhận việc đăng ký thế chấp vào GCN sau khi được cơ quan có thẩm quyền ký cấp đổi</v>
      </c>
      <c r="C406" s="523" t="str">
        <f>L_CViec!AB375</f>
        <v>Hồ sơ</v>
      </c>
      <c r="D406" s="523">
        <f>L_CViec!AA375</f>
        <v>1</v>
      </c>
      <c r="E406" s="523" t="str">
        <f>L_CViec!AC375</f>
        <v>1KS2</v>
      </c>
      <c r="F406" s="523" t="str">
        <f>L_CViec!AD375</f>
        <v>1-3</v>
      </c>
      <c r="G406" s="523">
        <f>L_CViec!AE375</f>
        <v>0.05</v>
      </c>
      <c r="H406" s="879">
        <f>L_CViec!AF375</f>
        <v>0.05</v>
      </c>
      <c r="I406" s="879">
        <f>L_CViec!AG375</f>
        <v>6.5000000000000002E-2</v>
      </c>
      <c r="J406" s="294">
        <f>L_CViec!AH375</f>
        <v>296770.5</v>
      </c>
      <c r="K406" s="294">
        <f t="shared" si="44"/>
        <v>14838.525000000001</v>
      </c>
      <c r="L406" s="294">
        <f t="shared" si="45"/>
        <v>14838.525000000001</v>
      </c>
      <c r="M406" s="294">
        <f t="shared" si="46"/>
        <v>19290.0825</v>
      </c>
      <c r="N406" s="1091">
        <f>$D406*G406*L_CBac!$J$68</f>
        <v>1278.2250000000001</v>
      </c>
      <c r="O406" s="1091">
        <f>$D406*H406*L_CBac!$J$68</f>
        <v>1278.2250000000001</v>
      </c>
      <c r="P406" s="1091">
        <f>$D406*I406*L_CBac!$J$68</f>
        <v>1661.6925000000001</v>
      </c>
      <c r="Q406" s="1002"/>
      <c r="R406" s="294"/>
      <c r="S406" s="294"/>
    </row>
    <row r="407" spans="1:19" s="85" customFormat="1" ht="63.75">
      <c r="A407" s="523" t="str">
        <f>L_CViec!A376</f>
        <v>20</v>
      </c>
      <c r="B407" s="525" t="str">
        <f>L_CViec!B376</f>
        <v>Chuyển Giấy chứng nhận đến Bộ phận một cửa để trao cho người sử dụng đất hoặc chuyển Giấy chứng nhận cho người sử dụng đất thông qua dịch vụ bưu chính công ích hoặc Văn phòng đăng ký đất đai nhận lại GCN cũ đang thế chấp từ tổ chức tín dụng và trao GCN mới</v>
      </c>
      <c r="C407" s="523" t="str">
        <f>L_CViec!AB376</f>
        <v>Hồ sơ</v>
      </c>
      <c r="D407" s="523">
        <f>L_CViec!AA376</f>
        <v>1</v>
      </c>
      <c r="E407" s="523" t="str">
        <f>L_CViec!AC376</f>
        <v>1KS2</v>
      </c>
      <c r="F407" s="523" t="str">
        <f>L_CViec!AD376</f>
        <v>1-3</v>
      </c>
      <c r="G407" s="523">
        <f>L_CViec!AE376</f>
        <v>0.05</v>
      </c>
      <c r="H407" s="879">
        <f>L_CViec!AF376</f>
        <v>0.05</v>
      </c>
      <c r="I407" s="879">
        <f>L_CViec!AG376</f>
        <v>6.5000000000000002E-2</v>
      </c>
      <c r="J407" s="294">
        <f>L_CViec!AH376</f>
        <v>296770.5</v>
      </c>
      <c r="K407" s="294">
        <f t="shared" si="44"/>
        <v>14838.525000000001</v>
      </c>
      <c r="L407" s="294">
        <f t="shared" si="45"/>
        <v>14838.525000000001</v>
      </c>
      <c r="M407" s="294">
        <f t="shared" si="46"/>
        <v>19290.0825</v>
      </c>
      <c r="N407" s="1091">
        <f>$D407*G407*L_CBac!$J$68</f>
        <v>1278.2250000000001</v>
      </c>
      <c r="O407" s="1091">
        <f>$D407*H407*L_CBac!$J$68</f>
        <v>1278.2250000000001</v>
      </c>
      <c r="P407" s="1091">
        <f>$D407*I407*L_CBac!$J$68</f>
        <v>1661.6925000000001</v>
      </c>
      <c r="Q407" s="1002">
        <f>$D407*G407*L_CBac!$J$69</f>
        <v>1403.846153846154</v>
      </c>
      <c r="R407" s="294">
        <f>$D407*H407*L_CBac!$J$69</f>
        <v>1403.846153846154</v>
      </c>
      <c r="S407" s="294">
        <f>$D407*I407*L_CBac!$J$69</f>
        <v>1825.0000000000002</v>
      </c>
    </row>
    <row r="408" spans="1:19" s="85" customFormat="1" ht="32.25" customHeight="1">
      <c r="A408" s="520" t="str">
        <f>L_CViec!A377</f>
        <v>VI.2</v>
      </c>
      <c r="B408" s="993" t="str">
        <f>L_CViec!B377</f>
        <v>CÁC NỘI DUNG THỰC HIỆN TẠI ĐỊA BÀN XÃ, PHƯỜNG</v>
      </c>
      <c r="C408" s="993">
        <f>L_CViec!AB377</f>
        <v>0</v>
      </c>
      <c r="D408" s="993">
        <f>L_CViec!AA377</f>
        <v>0</v>
      </c>
      <c r="E408" s="993">
        <f>L_CViec!AC377</f>
        <v>0</v>
      </c>
      <c r="F408" s="993">
        <f>L_CViec!AD377</f>
        <v>0</v>
      </c>
      <c r="G408" s="993">
        <f>L_CViec!AE377</f>
        <v>0</v>
      </c>
      <c r="H408" s="1104">
        <f>L_CViec!AF377</f>
        <v>0</v>
      </c>
      <c r="I408" s="1104">
        <f>L_CViec!AG377</f>
        <v>0</v>
      </c>
      <c r="J408" s="1093">
        <f>L_CViec!AH377</f>
        <v>0</v>
      </c>
      <c r="K408" s="1093">
        <f>K409</f>
        <v>5935.41</v>
      </c>
      <c r="L408" s="1093">
        <f t="shared" ref="L408:S408" si="47">L409</f>
        <v>5935.41</v>
      </c>
      <c r="M408" s="1093">
        <f t="shared" si="47"/>
        <v>7716.0329999999994</v>
      </c>
      <c r="N408" s="1090">
        <f t="shared" si="47"/>
        <v>511.29</v>
      </c>
      <c r="O408" s="1090">
        <f t="shared" si="47"/>
        <v>511.29</v>
      </c>
      <c r="P408" s="1090">
        <f t="shared" si="47"/>
        <v>664.67700000000002</v>
      </c>
      <c r="Q408" s="1071">
        <f t="shared" si="47"/>
        <v>561.53846153846155</v>
      </c>
      <c r="R408" s="166">
        <f t="shared" si="47"/>
        <v>561.53846153846155</v>
      </c>
      <c r="S408" s="167">
        <f t="shared" si="47"/>
        <v>730</v>
      </c>
    </row>
    <row r="409" spans="1:19" s="85" customFormat="1" ht="30" customHeight="1">
      <c r="A409" s="523" t="str">
        <f>L_CViec!A378</f>
        <v>1</v>
      </c>
      <c r="B409" s="525" t="str">
        <f>L_CViec!B378</f>
        <v>UBND xã, phường nhận thông báo biến động, chỉnh lý vào HSĐC</v>
      </c>
      <c r="C409" s="523" t="str">
        <f>L_CViec!AB378</f>
        <v>Hồ sơ</v>
      </c>
      <c r="D409" s="523">
        <f>L_CViec!AA378</f>
        <v>1</v>
      </c>
      <c r="E409" s="523" t="str">
        <f>L_CViec!AC378</f>
        <v>1KS2</v>
      </c>
      <c r="F409" s="523" t="str">
        <f>L_CViec!AD378</f>
        <v>1-3</v>
      </c>
      <c r="G409" s="523">
        <f>L_CViec!AE378</f>
        <v>0.02</v>
      </c>
      <c r="H409" s="879">
        <f>L_CViec!AF378</f>
        <v>0.02</v>
      </c>
      <c r="I409" s="879">
        <f>L_CViec!AG378</f>
        <v>2.5999999999999999E-2</v>
      </c>
      <c r="J409" s="294">
        <f>L_CViec!AH378</f>
        <v>296770.5</v>
      </c>
      <c r="K409" s="294">
        <f>G409*$J409</f>
        <v>5935.41</v>
      </c>
      <c r="L409" s="294">
        <f>H409*$J409</f>
        <v>5935.41</v>
      </c>
      <c r="M409" s="294">
        <f>I409*$J409</f>
        <v>7716.0329999999994</v>
      </c>
      <c r="N409" s="1091">
        <f>$D409*G409*L_CBac!$J$68</f>
        <v>511.29</v>
      </c>
      <c r="O409" s="1091">
        <f>$D409*H409*L_CBac!$J$68</f>
        <v>511.29</v>
      </c>
      <c r="P409" s="1091">
        <f>$D409*I409*L_CBac!$J$68</f>
        <v>664.67700000000002</v>
      </c>
      <c r="Q409" s="1002">
        <f>$D409*G409*L_CBac!$J$69</f>
        <v>561.53846153846155</v>
      </c>
      <c r="R409" s="294">
        <f>$D409*H409*L_CBac!$J$69</f>
        <v>561.53846153846155</v>
      </c>
      <c r="S409" s="294">
        <f>$D409*I409*L_CBac!$J$69</f>
        <v>730</v>
      </c>
    </row>
    <row r="410" spans="1:19" s="85" customFormat="1">
      <c r="A410" s="83" t="str">
        <f>L_CViec!A379</f>
        <v>VI.3</v>
      </c>
      <c r="B410" s="89" t="str">
        <f>L_CViec!B379</f>
        <v>GHI CHÚ</v>
      </c>
      <c r="C410" s="89">
        <f>L_CViec!AB379</f>
        <v>0</v>
      </c>
      <c r="D410" s="89"/>
      <c r="E410" s="89">
        <f>L_CViec!AC379</f>
        <v>0</v>
      </c>
      <c r="F410" s="89">
        <f>L_CViec!AD379</f>
        <v>0</v>
      </c>
      <c r="G410" s="89">
        <f>L_CViec!AE379</f>
        <v>0</v>
      </c>
      <c r="H410" s="1095">
        <f>L_CViec!AF379</f>
        <v>0</v>
      </c>
      <c r="I410" s="1095">
        <f>L_CViec!AG379</f>
        <v>0</v>
      </c>
      <c r="J410" s="1086">
        <f>L_CViec!AH379</f>
        <v>0</v>
      </c>
      <c r="K410" s="1086"/>
      <c r="L410" s="1086"/>
      <c r="M410" s="1086"/>
      <c r="N410" s="1090"/>
      <c r="O410" s="1090"/>
      <c r="P410" s="1090"/>
      <c r="Q410" s="1071"/>
      <c r="R410" s="166"/>
      <c r="S410" s="167"/>
    </row>
    <row r="411" spans="1:19" s="85" customFormat="1" ht="31.5" customHeight="1">
      <c r="A411" s="84" t="str">
        <f>L_CViec!A380</f>
        <v>1</v>
      </c>
      <c r="B411" s="1424" t="str">
        <f>L_CViec!B380</f>
        <v>Cột “ĐM Đất” áp dụng cho trường hợp đăng ký, cấp GCN đối với đất; cột “ĐM TS” áp dụng cho trường hợp đăng ký, cấp GCN đối với tài sản; cột “ĐM Đất + TS” áp dụng đối với trường hợp đăng ký, cấp GCN đối với cả đất và tài sản gắn liền với đất</v>
      </c>
      <c r="C411" s="1424"/>
      <c r="D411" s="1424"/>
      <c r="E411" s="1424"/>
      <c r="F411" s="1424"/>
      <c r="G411" s="1424"/>
      <c r="H411" s="1424"/>
      <c r="I411" s="1424"/>
      <c r="J411" s="1424"/>
      <c r="K411" s="1424"/>
      <c r="L411" s="1424"/>
      <c r="M411" s="1424"/>
      <c r="N411" s="1091"/>
      <c r="O411" s="1091"/>
      <c r="P411" s="1091"/>
      <c r="Q411" s="1002"/>
      <c r="R411" s="294"/>
      <c r="S411" s="294"/>
    </row>
    <row r="412" spans="1:19" s="85" customFormat="1" ht="16.5" customHeight="1">
      <c r="A412" s="84" t="str">
        <f>L_CViec!A381</f>
        <v>2</v>
      </c>
      <c r="B412" s="1424" t="str">
        <f>L_CViec!B381</f>
        <v>Trường hợp cấp đổi GCN đồng thời với thực hiện thủ tục đăng ký biến động đất đai thì áp dụng theo định mức đăng ký biến động đất đai quy định tại Điều 20 Quy định này</v>
      </c>
      <c r="C412" s="1424"/>
      <c r="D412" s="1424"/>
      <c r="E412" s="1424"/>
      <c r="F412" s="1424"/>
      <c r="G412" s="1424"/>
      <c r="H412" s="1424"/>
      <c r="I412" s="1424"/>
      <c r="J412" s="1424"/>
      <c r="K412" s="1424"/>
      <c r="L412" s="1424"/>
      <c r="M412" s="1424"/>
      <c r="N412" s="1091"/>
      <c r="O412" s="1091"/>
      <c r="P412" s="1091"/>
      <c r="Q412" s="1002"/>
      <c r="R412" s="294"/>
      <c r="S412" s="294"/>
    </row>
    <row r="413" spans="1:19" s="85" customFormat="1" ht="16.5" customHeight="1">
      <c r="A413" s="84">
        <f>L_CViec!A382</f>
        <v>0</v>
      </c>
      <c r="B413" s="1450">
        <f>L_CViec!B382</f>
        <v>0</v>
      </c>
      <c r="C413" s="1450"/>
      <c r="D413" s="1450"/>
      <c r="E413" s="1450"/>
      <c r="F413" s="1450"/>
      <c r="G413" s="1450"/>
      <c r="H413" s="1450"/>
      <c r="I413" s="1450"/>
      <c r="J413" s="1450"/>
      <c r="K413" s="1450"/>
      <c r="L413" s="1450"/>
      <c r="M413" s="1450"/>
      <c r="N413" s="1091"/>
      <c r="O413" s="1091"/>
      <c r="P413" s="1091"/>
      <c r="Q413" s="1002"/>
      <c r="R413" s="294"/>
      <c r="S413" s="294"/>
    </row>
    <row r="414" spans="1:19" s="85" customFormat="1">
      <c r="A414" s="168"/>
      <c r="B414" s="169"/>
      <c r="C414" s="168"/>
      <c r="D414" s="168"/>
      <c r="E414" s="168"/>
      <c r="F414" s="168"/>
      <c r="G414" s="168"/>
      <c r="H414" s="170"/>
      <c r="I414" s="170"/>
      <c r="J414" s="170"/>
      <c r="K414" s="170"/>
      <c r="L414" s="84"/>
    </row>
    <row r="415" spans="1:19" s="37" customFormat="1">
      <c r="A415" s="37" t="s">
        <v>344</v>
      </c>
      <c r="B415" s="869"/>
      <c r="C415" s="870"/>
      <c r="D415" s="870"/>
      <c r="E415" s="870"/>
      <c r="F415" s="870"/>
      <c r="G415" s="871"/>
      <c r="H415" s="872"/>
      <c r="I415" s="872"/>
      <c r="J415" s="872"/>
      <c r="K415" s="872"/>
    </row>
    <row r="416" spans="1:19" s="31" customFormat="1" ht="15" customHeight="1">
      <c r="A416" s="1426" t="s">
        <v>24</v>
      </c>
      <c r="B416" s="1101" t="s">
        <v>46</v>
      </c>
      <c r="C416" s="1427" t="s">
        <v>39</v>
      </c>
      <c r="D416" s="1102"/>
      <c r="E416" s="1427" t="s">
        <v>17</v>
      </c>
      <c r="F416" s="1102" t="s">
        <v>98</v>
      </c>
      <c r="G416" s="1429" t="s">
        <v>335</v>
      </c>
      <c r="H416" s="1429"/>
      <c r="I416" s="1429"/>
      <c r="J416" s="1428" t="s">
        <v>351</v>
      </c>
      <c r="K416" s="1429" t="s">
        <v>36</v>
      </c>
      <c r="L416" s="1429"/>
      <c r="M416" s="1429"/>
      <c r="N416" s="1091" t="s">
        <v>355</v>
      </c>
      <c r="O416" s="1091"/>
      <c r="P416" s="1091"/>
      <c r="Q416" s="1448" t="s">
        <v>356</v>
      </c>
      <c r="R416" s="1448"/>
      <c r="S416" s="1448"/>
    </row>
    <row r="417" spans="1:19" s="31" customFormat="1" ht="25.5">
      <c r="A417" s="1426"/>
      <c r="B417" s="1101"/>
      <c r="C417" s="1427"/>
      <c r="D417" s="1102"/>
      <c r="E417" s="1427"/>
      <c r="F417" s="1102" t="s">
        <v>25</v>
      </c>
      <c r="G417" s="1103" t="s">
        <v>359</v>
      </c>
      <c r="H417" s="1103" t="s">
        <v>358</v>
      </c>
      <c r="I417" s="1103" t="s">
        <v>357</v>
      </c>
      <c r="J417" s="1429"/>
      <c r="K417" s="1103" t="s">
        <v>359</v>
      </c>
      <c r="L417" s="1103" t="s">
        <v>358</v>
      </c>
      <c r="M417" s="1103" t="s">
        <v>357</v>
      </c>
      <c r="N417" s="1090" t="s">
        <v>359</v>
      </c>
      <c r="O417" s="1090" t="s">
        <v>358</v>
      </c>
      <c r="P417" s="1090" t="s">
        <v>357</v>
      </c>
      <c r="Q417" s="453" t="s">
        <v>359</v>
      </c>
      <c r="R417" s="451" t="s">
        <v>358</v>
      </c>
      <c r="S417" s="453" t="s">
        <v>357</v>
      </c>
    </row>
    <row r="418" spans="1:19" s="85" customFormat="1" ht="26.45" customHeight="1">
      <c r="A418" s="520" t="str">
        <f>L_CViec!A384</f>
        <v>VII</v>
      </c>
      <c r="B418" s="1425" t="str">
        <f>L_CViec!B384</f>
        <v>Đăng ký biến động đất đai đối với hộ gia đình, cá nhân, cộng đồng dân cư, người gốc Việt Nam định cư ở nước ngoài</v>
      </c>
      <c r="C418" s="1425"/>
      <c r="D418" s="1425"/>
      <c r="E418" s="1425"/>
      <c r="F418" s="1425"/>
      <c r="G418" s="1425"/>
      <c r="H418" s="1425"/>
      <c r="I418" s="1425"/>
      <c r="J418" s="1425"/>
      <c r="K418" s="1093"/>
      <c r="L418" s="1093"/>
      <c r="M418" s="1093"/>
      <c r="N418" s="1091"/>
      <c r="O418" s="1091"/>
      <c r="P418" s="1091"/>
      <c r="Q418" s="482"/>
      <c r="R418" s="482"/>
      <c r="S418" s="482"/>
    </row>
    <row r="419" spans="1:19" s="85" customFormat="1" ht="22.5" customHeight="1">
      <c r="A419" s="520" t="str">
        <f>L_CViec!A385</f>
        <v>VII.1</v>
      </c>
      <c r="B419" s="993" t="str">
        <f>L_CViec!B385</f>
        <v>CÁC NỘI DUNG THỰC HIỆN TẠI ĐỊA BÀN XÃ, PHƯỜNG</v>
      </c>
      <c r="C419" s="993">
        <f>L_CViec!AB385</f>
        <v>0</v>
      </c>
      <c r="D419" s="993"/>
      <c r="E419" s="993">
        <f>L_CViec!AC385</f>
        <v>0</v>
      </c>
      <c r="F419" s="993">
        <f>L_CViec!AD385</f>
        <v>0</v>
      </c>
      <c r="G419" s="520"/>
      <c r="H419" s="1093"/>
      <c r="I419" s="1093"/>
      <c r="J419" s="1093"/>
      <c r="K419" s="1093">
        <f>SUM(K422,K423,K424,K435,K437,K445,K447,K449,K452,K431,K432,K433,K434,K436,K438,K441,K442,K440,K439,K450,K454,K456,K457,K458,K459,K465,K466)</f>
        <v>1854215.415</v>
      </c>
      <c r="L419" s="1093">
        <f t="shared" ref="L419:M419" si="48">SUM(L422,L423,L424,L435,L437,L445,L447,L449,L452,L431,L432,L433,L434,L436,L438,L441,L442,L440,L439,L450,L454,L456,L457,L458,L459,L465,L466)</f>
        <v>2017939.365</v>
      </c>
      <c r="M419" s="1093">
        <f t="shared" si="48"/>
        <v>2538161.3789999997</v>
      </c>
      <c r="N419" s="1091">
        <f t="shared" ref="N419:S419" si="49">SUM(N422,N423,N424,N428,N435,N437,N445,N447,N449,N451,N452,N427,N429,N430,N431,N432,N433,N434,N440,N443,N439,N450)</f>
        <v>98397.760499999989</v>
      </c>
      <c r="O419" s="1091">
        <f t="shared" si="49"/>
        <v>112969.5255</v>
      </c>
      <c r="P419" s="1091">
        <f t="shared" si="49"/>
        <v>144516.11849999998</v>
      </c>
      <c r="Q419" s="166">
        <f t="shared" si="49"/>
        <v>108068.07692307694</v>
      </c>
      <c r="R419" s="166">
        <f t="shared" si="49"/>
        <v>124071.92307692309</v>
      </c>
      <c r="S419" s="166">
        <f t="shared" si="49"/>
        <v>158718.84615384619</v>
      </c>
    </row>
    <row r="420" spans="1:19" s="85" customFormat="1" ht="18" customHeight="1">
      <c r="A420" s="523" t="str">
        <f>L_CViec!A386</f>
        <v>1</v>
      </c>
      <c r="B420" s="525" t="str">
        <f>L_CViec!B386</f>
        <v>Hướng dẫn lập hồ sơ đăng ký biến động đất đai</v>
      </c>
      <c r="C420" s="523">
        <f>L_CViec!AB386</f>
        <v>0</v>
      </c>
      <c r="D420" s="523"/>
      <c r="E420" s="523">
        <f>L_CViec!AC386</f>
        <v>0</v>
      </c>
      <c r="F420" s="523">
        <f>L_CViec!AD386</f>
        <v>0</v>
      </c>
      <c r="G420" s="523">
        <f>L_CViec!AE386</f>
        <v>0</v>
      </c>
      <c r="H420" s="879">
        <f>L_CViec!AF386</f>
        <v>0</v>
      </c>
      <c r="I420" s="879">
        <f>L_CViec!AG386</f>
        <v>0</v>
      </c>
      <c r="J420" s="294">
        <f>L_CViec!AH386</f>
        <v>0</v>
      </c>
      <c r="K420" s="294"/>
      <c r="L420" s="294"/>
      <c r="M420" s="294"/>
      <c r="N420" s="1090"/>
      <c r="O420" s="1090"/>
      <c r="P420" s="1090"/>
      <c r="Q420" s="294"/>
      <c r="R420" s="294"/>
      <c r="S420" s="294"/>
    </row>
    <row r="421" spans="1:19" s="111" customFormat="1" ht="19.5" customHeight="1">
      <c r="A421" s="523" t="str">
        <f>L_CViec!A387</f>
        <v>1.1</v>
      </c>
      <c r="B421" s="525" t="str">
        <f>L_CViec!B387</f>
        <v>Theo hình thức trực tiếp</v>
      </c>
      <c r="C421" s="523" t="str">
        <f>L_CViec!AB387</f>
        <v>Hồ sơ</v>
      </c>
      <c r="D421" s="523">
        <f>L_CViec!AA387</f>
        <v>1</v>
      </c>
      <c r="E421" s="523" t="str">
        <f>L_CViec!AC387</f>
        <v>1KS2</v>
      </c>
      <c r="F421" s="523" t="str">
        <f>L_CViec!AD387</f>
        <v>1-3</v>
      </c>
      <c r="G421" s="523">
        <f>L_CViec!AE387</f>
        <v>0.2</v>
      </c>
      <c r="H421" s="879">
        <f>L_CViec!AF387</f>
        <v>0.2</v>
      </c>
      <c r="I421" s="879">
        <f>L_CViec!AG387</f>
        <v>0.26</v>
      </c>
      <c r="J421" s="294">
        <f>L_CViec!AH387</f>
        <v>296770.5</v>
      </c>
      <c r="K421" s="294">
        <f>G421*$J421</f>
        <v>59354.100000000006</v>
      </c>
      <c r="L421" s="294">
        <f>H421*$J421</f>
        <v>59354.100000000006</v>
      </c>
      <c r="M421" s="294">
        <f>I421*$J421</f>
        <v>77160.33</v>
      </c>
      <c r="N421" s="1091">
        <f>$D421*G421*L_CBac!$J$68</f>
        <v>5112.9000000000005</v>
      </c>
      <c r="O421" s="1091">
        <f>$D421*H421*L_CBac!$J$68</f>
        <v>5112.9000000000005</v>
      </c>
      <c r="P421" s="1091">
        <f>$D421*I421*L_CBac!$J$68</f>
        <v>6646.77</v>
      </c>
      <c r="Q421" s="294">
        <f>$D421*G421*L_CBac!$J$69</f>
        <v>5615.3846153846162</v>
      </c>
      <c r="R421" s="294">
        <f>$D421*H421*L_CBac!$J$69</f>
        <v>5615.3846153846162</v>
      </c>
      <c r="S421" s="294">
        <f>$D421*I421*L_CBac!$J$69</f>
        <v>7300.0000000000009</v>
      </c>
    </row>
    <row r="422" spans="1:19" s="111" customFormat="1" ht="21" customHeight="1">
      <c r="A422" s="523" t="str">
        <f>L_CViec!A388</f>
        <v>1.2</v>
      </c>
      <c r="B422" s="525" t="str">
        <f>L_CViec!B388</f>
        <v>Theo hình thức trực tuyến</v>
      </c>
      <c r="C422" s="523" t="str">
        <f>L_CViec!AB388</f>
        <v>Hồ sơ</v>
      </c>
      <c r="D422" s="523">
        <f>L_CViec!AA388</f>
        <v>1</v>
      </c>
      <c r="E422" s="523" t="str">
        <f>L_CViec!AC388</f>
        <v>1KS2</v>
      </c>
      <c r="F422" s="523" t="str">
        <f>L_CViec!AD388</f>
        <v>1-3</v>
      </c>
      <c r="G422" s="523">
        <f>L_CViec!AE388</f>
        <v>0.15</v>
      </c>
      <c r="H422" s="879">
        <f>L_CViec!AF388</f>
        <v>0.15</v>
      </c>
      <c r="I422" s="879">
        <f>L_CViec!AG388</f>
        <v>0.19500000000000001</v>
      </c>
      <c r="J422" s="294">
        <f>L_CViec!AH388</f>
        <v>296770.5</v>
      </c>
      <c r="K422" s="294">
        <f t="shared" ref="K422:K433" si="50">G422*$J422</f>
        <v>44515.574999999997</v>
      </c>
      <c r="L422" s="294">
        <f t="shared" ref="L422:L433" si="51">H422*$J422</f>
        <v>44515.574999999997</v>
      </c>
      <c r="M422" s="294">
        <f t="shared" ref="M422:M433" si="52">I422*$J422</f>
        <v>57870.247500000005</v>
      </c>
      <c r="N422" s="1091">
        <f>$D422*G422*L_CBac!$J$68</f>
        <v>3834.6749999999997</v>
      </c>
      <c r="O422" s="1091">
        <f>$D422*H422*L_CBac!$J$68</f>
        <v>3834.6749999999997</v>
      </c>
      <c r="P422" s="1091">
        <f>$D422*I422*L_CBac!$J$68</f>
        <v>4985.0775000000003</v>
      </c>
      <c r="Q422" s="294">
        <f>$D422*G422*L_CBac!$J$69</f>
        <v>4211.5384615384619</v>
      </c>
      <c r="R422" s="294">
        <f>$D422*H422*L_CBac!$J$69</f>
        <v>4211.5384615384619</v>
      </c>
      <c r="S422" s="294">
        <f>$D422*I422*L_CBac!$J$69</f>
        <v>5475</v>
      </c>
    </row>
    <row r="423" spans="1:19" s="85" customFormat="1" ht="38.25">
      <c r="A423" s="523" t="str">
        <f>L_CViec!A389</f>
        <v>2</v>
      </c>
      <c r="B423" s="525" t="str">
        <f>L_CViec!B389</f>
        <v>Nhận, kiểm tra tính đầy đủ của thành phần hồ sơ và cấp Giấy tiếp nhận hồ sơ và hẹn trả kết quả hoặc trả lại hồ sơ, vào sổ theo dõi nhận, trả hồ sơ (theo hình thức trực tiếp, trực tuyến)</v>
      </c>
      <c r="C423" s="523" t="str">
        <f>L_CViec!AB389</f>
        <v>Hồ sơ</v>
      </c>
      <c r="D423" s="523">
        <f>L_CViec!AA389</f>
        <v>1</v>
      </c>
      <c r="E423" s="523" t="str">
        <f>L_CViec!AC389</f>
        <v>1KS2</v>
      </c>
      <c r="F423" s="523" t="str">
        <f>L_CViec!AD389</f>
        <v>1-3</v>
      </c>
      <c r="G423" s="523">
        <f>L_CViec!AE389</f>
        <v>0.25</v>
      </c>
      <c r="H423" s="879">
        <f>L_CViec!AF389</f>
        <v>0.25</v>
      </c>
      <c r="I423" s="879">
        <f>L_CViec!AG389</f>
        <v>0.32500000000000001</v>
      </c>
      <c r="J423" s="294">
        <f>L_CViec!AH389</f>
        <v>296770.5</v>
      </c>
      <c r="K423" s="294">
        <f t="shared" si="50"/>
        <v>74192.625</v>
      </c>
      <c r="L423" s="294">
        <f t="shared" si="51"/>
        <v>74192.625</v>
      </c>
      <c r="M423" s="294">
        <f t="shared" si="52"/>
        <v>96450.412500000006</v>
      </c>
      <c r="N423" s="1090">
        <f>$D423*G423*L_CBac!$J$68</f>
        <v>6391.125</v>
      </c>
      <c r="O423" s="1090">
        <f>$D423*H423*L_CBac!$J$68</f>
        <v>6391.125</v>
      </c>
      <c r="P423" s="1090">
        <f>$D423*I423*L_CBac!$J$68</f>
        <v>8308.4624999999996</v>
      </c>
      <c r="Q423" s="294">
        <f>$D423*G423*L_CBac!$J$69</f>
        <v>7019.2307692307695</v>
      </c>
      <c r="R423" s="294">
        <f>$D423*H423*L_CBac!$J$69</f>
        <v>7019.2307692307695</v>
      </c>
      <c r="S423" s="294">
        <f>$D423*I423*L_CBac!$J$69</f>
        <v>9125</v>
      </c>
    </row>
    <row r="424" spans="1:19" s="85" customFormat="1" ht="37.5" customHeight="1">
      <c r="A424" s="523" t="str">
        <f>L_CViec!A390</f>
        <v>3</v>
      </c>
      <c r="B424" s="525" t="str">
        <f>L_CViec!B390</f>
        <v>Tạo tệp (File) dữ liệu hồ sơ số và nhập thông tin do người sử dụng đất kê khai, đăng ký</v>
      </c>
      <c r="C424" s="523" t="str">
        <f>L_CViec!AB390</f>
        <v>Thửa</v>
      </c>
      <c r="D424" s="523">
        <f>L_CViec!AA390</f>
        <v>1</v>
      </c>
      <c r="E424" s="523" t="str">
        <f>L_CViec!AC390</f>
        <v>1KS3</v>
      </c>
      <c r="F424" s="523" t="str">
        <f>L_CViec!AD390</f>
        <v>1-3</v>
      </c>
      <c r="G424" s="523">
        <f>L_CViec!AE390</f>
        <v>0.107</v>
      </c>
      <c r="H424" s="879">
        <f>L_CViec!AF390</f>
        <v>3.3000000000000002E-2</v>
      </c>
      <c r="I424" s="879">
        <f>L_CViec!AG390</f>
        <v>0.16700000000000001</v>
      </c>
      <c r="J424" s="294">
        <f>L_CViec!AH390</f>
        <v>333450</v>
      </c>
      <c r="K424" s="294">
        <f t="shared" si="50"/>
        <v>35679.15</v>
      </c>
      <c r="L424" s="294">
        <f t="shared" si="51"/>
        <v>11003.85</v>
      </c>
      <c r="M424" s="294">
        <f t="shared" si="52"/>
        <v>55686.15</v>
      </c>
      <c r="N424" s="1091">
        <f>$D424*G424*L_CBac!$J$68</f>
        <v>2735.4014999999999</v>
      </c>
      <c r="O424" s="1091">
        <f>$D424*H424*L_CBac!$J$68</f>
        <v>843.62850000000003</v>
      </c>
      <c r="P424" s="1091">
        <f>$D424*I424*L_CBac!$J$68</f>
        <v>4269.2714999999998</v>
      </c>
      <c r="Q424" s="294">
        <f>$D424*G424*L_CBac!$J$69</f>
        <v>3004.2307692307695</v>
      </c>
      <c r="R424" s="294">
        <f>$D424*H424*L_CBac!$J$69</f>
        <v>926.53846153846166</v>
      </c>
      <c r="S424" s="294">
        <f>$D424*I424*L_CBac!$J$69</f>
        <v>4688.8461538461543</v>
      </c>
    </row>
    <row r="425" spans="1:19" s="471" customFormat="1" ht="25.5">
      <c r="A425" s="523" t="str">
        <f>L_CViec!A391</f>
        <v>4</v>
      </c>
      <c r="B425" s="525" t="str">
        <f>L_CViec!B391</f>
        <v>Quét giấy tờ pháp lý về quyền sử dụng đất, quyền sở hữu nhà ở và tài sản khác gắn liền với đất</v>
      </c>
      <c r="C425" s="523">
        <f>L_CViec!AB391</f>
        <v>0</v>
      </c>
      <c r="D425" s="523">
        <f>L_CViec!AA391</f>
        <v>0</v>
      </c>
      <c r="E425" s="523">
        <f>L_CViec!AC391</f>
        <v>0</v>
      </c>
      <c r="F425" s="523">
        <f>L_CViec!AD391</f>
        <v>0</v>
      </c>
      <c r="G425" s="523">
        <f>L_CViec!AE391</f>
        <v>0</v>
      </c>
      <c r="H425" s="879">
        <f>L_CViec!AF391</f>
        <v>0</v>
      </c>
      <c r="I425" s="879">
        <f>L_CViec!AG391</f>
        <v>0</v>
      </c>
      <c r="J425" s="294">
        <f>L_CViec!AH391</f>
        <v>0</v>
      </c>
      <c r="K425" s="294">
        <f t="shared" si="50"/>
        <v>0</v>
      </c>
      <c r="L425" s="294">
        <f t="shared" si="51"/>
        <v>0</v>
      </c>
      <c r="M425" s="294">
        <f t="shared" si="52"/>
        <v>0</v>
      </c>
      <c r="N425" s="1091">
        <f>$D425*G425*L_CBac!$J$68</f>
        <v>0</v>
      </c>
      <c r="O425" s="1091">
        <f>$D425*H425*L_CBac!$J$68</f>
        <v>0</v>
      </c>
      <c r="P425" s="1091">
        <f>$D425*I425*L_CBac!$J$68</f>
        <v>0</v>
      </c>
      <c r="Q425" s="903"/>
      <c r="R425" s="903"/>
      <c r="S425" s="903"/>
    </row>
    <row r="426" spans="1:19" s="471" customFormat="1">
      <c r="A426" s="523" t="str">
        <f>L_CViec!A392</f>
        <v>4.1</v>
      </c>
      <c r="B426" s="525" t="str">
        <f>L_CViec!B392</f>
        <v>Quét trang A3</v>
      </c>
      <c r="C426" s="523" t="str">
        <f>L_CViec!AB392</f>
        <v>Trang</v>
      </c>
      <c r="D426" s="523">
        <f>L_CViec!AA392</f>
        <v>1</v>
      </c>
      <c r="E426" s="523" t="str">
        <f>L_CViec!AC392</f>
        <v>1KS1</v>
      </c>
      <c r="F426" s="523" t="str">
        <f>L_CViec!AD392</f>
        <v>1-3</v>
      </c>
      <c r="G426" s="523">
        <f>L_CViec!AE392</f>
        <v>1.6E-2</v>
      </c>
      <c r="H426" s="879">
        <f>L_CViec!AF392</f>
        <v>0.02</v>
      </c>
      <c r="I426" s="879">
        <f>L_CViec!AG392</f>
        <v>2.4E-2</v>
      </c>
      <c r="J426" s="294">
        <f>L_CViec!AH392</f>
        <v>260091</v>
      </c>
      <c r="K426" s="294">
        <f t="shared" si="50"/>
        <v>4161.4560000000001</v>
      </c>
      <c r="L426" s="294">
        <f t="shared" si="51"/>
        <v>5201.82</v>
      </c>
      <c r="M426" s="294">
        <f t="shared" si="52"/>
        <v>6242.1840000000002</v>
      </c>
      <c r="N426" s="1090">
        <f>$D426*G426*L_CBac!$J$68</f>
        <v>409.03199999999998</v>
      </c>
      <c r="O426" s="1090">
        <f>$D426*H426*L_CBac!$J$68</f>
        <v>511.29</v>
      </c>
      <c r="P426" s="1090">
        <f>$D426*I426*L_CBac!$J$68</f>
        <v>613.548</v>
      </c>
      <c r="Q426" s="903">
        <f>$D426*G426*L_CBac!$J$69</f>
        <v>449.23076923076928</v>
      </c>
      <c r="R426" s="903">
        <f>$D426*H426*L_CBac!$J$69</f>
        <v>561.53846153846155</v>
      </c>
      <c r="S426" s="903">
        <f>$D426*I426*L_CBac!$J$69</f>
        <v>673.84615384615392</v>
      </c>
    </row>
    <row r="427" spans="1:19" s="471" customFormat="1">
      <c r="A427" s="523" t="str">
        <f>L_CViec!A393</f>
        <v>4.2</v>
      </c>
      <c r="B427" s="525" t="str">
        <f>L_CViec!B393</f>
        <v>Quét trang A4</v>
      </c>
      <c r="C427" s="523" t="str">
        <f>L_CViec!AB393</f>
        <v>Trang</v>
      </c>
      <c r="D427" s="523">
        <f>L_CViec!AA393</f>
        <v>1</v>
      </c>
      <c r="E427" s="523" t="str">
        <f>L_CViec!AC393</f>
        <v>1KS1</v>
      </c>
      <c r="F427" s="523" t="str">
        <f>L_CViec!AD393</f>
        <v>1-3</v>
      </c>
      <c r="G427" s="523">
        <f>L_CViec!AE393</f>
        <v>8.0000000000000002E-3</v>
      </c>
      <c r="H427" s="879">
        <f>L_CViec!AF393</f>
        <v>0.01</v>
      </c>
      <c r="I427" s="879">
        <f>L_CViec!AG393</f>
        <v>1.2E-2</v>
      </c>
      <c r="J427" s="294">
        <f>L_CViec!AH393</f>
        <v>260091</v>
      </c>
      <c r="K427" s="294">
        <f t="shared" si="50"/>
        <v>2080.7280000000001</v>
      </c>
      <c r="L427" s="294">
        <f t="shared" si="51"/>
        <v>2600.91</v>
      </c>
      <c r="M427" s="294">
        <f t="shared" si="52"/>
        <v>3121.0920000000001</v>
      </c>
      <c r="N427" s="1091">
        <f>$D427*G427*L_CBac!$J$68</f>
        <v>204.51599999999999</v>
      </c>
      <c r="O427" s="1091">
        <f>$D427*H427*L_CBac!$J$68</f>
        <v>255.64500000000001</v>
      </c>
      <c r="P427" s="1091">
        <f>$D427*I427*L_CBac!$J$68</f>
        <v>306.774</v>
      </c>
      <c r="Q427" s="903">
        <f>$D427*G427*L_CBac!$J$69</f>
        <v>224.61538461538464</v>
      </c>
      <c r="R427" s="903">
        <f>$D427*H427*L_CBac!$J$69</f>
        <v>280.76923076923077</v>
      </c>
      <c r="S427" s="903">
        <f>$D427*I427*L_CBac!$J$69</f>
        <v>336.92307692307696</v>
      </c>
    </row>
    <row r="428" spans="1:19" s="85" customFormat="1" ht="25.5">
      <c r="A428" s="523" t="str">
        <f>L_CViec!A394</f>
        <v>5</v>
      </c>
      <c r="B428" s="525" t="str">
        <f>L_CViec!B394</f>
        <v>Xử lý các tệp tin quét thành tệp (File) hồ sơ quét dạng số của thửa đất, lưu trữ dưới khuôn dạng tệp tin PDF</v>
      </c>
      <c r="C428" s="523" t="str">
        <f>L_CViec!AB394</f>
        <v>Trang</v>
      </c>
      <c r="D428" s="523">
        <f>L_CViec!AA394</f>
        <v>1</v>
      </c>
      <c r="E428" s="523" t="str">
        <f>L_CViec!AC394</f>
        <v>1KS1</v>
      </c>
      <c r="F428" s="523" t="str">
        <f>L_CViec!AD394</f>
        <v>1-3</v>
      </c>
      <c r="G428" s="523">
        <f>L_CViec!AE394</f>
        <v>4.0000000000000001E-3</v>
      </c>
      <c r="H428" s="879">
        <f>L_CViec!AF394</f>
        <v>5.0000000000000001E-3</v>
      </c>
      <c r="I428" s="879">
        <f>L_CViec!AG394</f>
        <v>6.0000000000000001E-3</v>
      </c>
      <c r="J428" s="294">
        <f>L_CViec!AH394</f>
        <v>260091</v>
      </c>
      <c r="K428" s="294">
        <f t="shared" si="50"/>
        <v>1040.364</v>
      </c>
      <c r="L428" s="294">
        <f t="shared" si="51"/>
        <v>1300.4549999999999</v>
      </c>
      <c r="M428" s="294">
        <f t="shared" si="52"/>
        <v>1560.546</v>
      </c>
      <c r="N428" s="1091">
        <f>$D428*G428*L_CBac!$J$68</f>
        <v>102.258</v>
      </c>
      <c r="O428" s="1091">
        <f>$D428*H428*L_CBac!$J$68</f>
        <v>127.82250000000001</v>
      </c>
      <c r="P428" s="1091">
        <f>$D428*I428*L_CBac!$J$68</f>
        <v>153.387</v>
      </c>
      <c r="Q428" s="294">
        <f>$D428*G428*L_CBac!$J$69</f>
        <v>112.30769230769232</v>
      </c>
      <c r="R428" s="294">
        <f>$D428*H428*L_CBac!$J$69</f>
        <v>140.38461538461539</v>
      </c>
      <c r="S428" s="294">
        <f>$D428*I428*L_CBac!$J$69</f>
        <v>168.46153846153848</v>
      </c>
    </row>
    <row r="429" spans="1:19" s="471" customFormat="1">
      <c r="A429" s="523">
        <f>L_CViec!A395</f>
        <v>6</v>
      </c>
      <c r="B429" s="525" t="str">
        <f>L_CViec!B395</f>
        <v>Chuyển hồ sơ đến Văn phòng đăng ký đất đai</v>
      </c>
      <c r="C429" s="523">
        <f>L_CViec!AB395</f>
        <v>0</v>
      </c>
      <c r="D429" s="523">
        <f>L_CViec!AA395</f>
        <v>0</v>
      </c>
      <c r="E429" s="523">
        <f>L_CViec!AC395</f>
        <v>0</v>
      </c>
      <c r="F429" s="523">
        <f>L_CViec!AD395</f>
        <v>0</v>
      </c>
      <c r="G429" s="523">
        <f>L_CViec!AE395</f>
        <v>0</v>
      </c>
      <c r="H429" s="879">
        <f>L_CViec!AF395</f>
        <v>0</v>
      </c>
      <c r="I429" s="879">
        <f>L_CViec!AG395</f>
        <v>0</v>
      </c>
      <c r="J429" s="294">
        <f>L_CViec!AH395</f>
        <v>0</v>
      </c>
      <c r="K429" s="294">
        <f t="shared" si="50"/>
        <v>0</v>
      </c>
      <c r="L429" s="294">
        <f t="shared" si="51"/>
        <v>0</v>
      </c>
      <c r="M429" s="294">
        <f t="shared" si="52"/>
        <v>0</v>
      </c>
      <c r="N429" s="1090">
        <f>$D429*G429*L_CBac!$J$68</f>
        <v>0</v>
      </c>
      <c r="O429" s="1090">
        <f>$D429*H429*L_CBac!$J$68</f>
        <v>0</v>
      </c>
      <c r="P429" s="1090">
        <f>$D429*I429*L_CBac!$J$68</f>
        <v>0</v>
      </c>
      <c r="Q429" s="903">
        <f>$D429*G429*L_CBac!$J$69</f>
        <v>0</v>
      </c>
      <c r="R429" s="903">
        <f>$D429*H429*L_CBac!$J$69</f>
        <v>0</v>
      </c>
      <c r="S429" s="903">
        <f>$D429*I429*L_CBac!$J$69</f>
        <v>0</v>
      </c>
    </row>
    <row r="430" spans="1:19" s="471" customFormat="1">
      <c r="A430" s="523">
        <f>L_CViec!A396</f>
        <v>6.1</v>
      </c>
      <c r="B430" s="525" t="str">
        <f>L_CViec!B396</f>
        <v>Theo hình thức trực tiếp</v>
      </c>
      <c r="C430" s="523" t="str">
        <f>L_CViec!AB396</f>
        <v>Hồ sơ</v>
      </c>
      <c r="D430" s="523">
        <f>L_CViec!AA396</f>
        <v>1</v>
      </c>
      <c r="E430" s="523" t="str">
        <f>L_CViec!AC396</f>
        <v>1KS2</v>
      </c>
      <c r="F430" s="523" t="str">
        <f>L_CViec!AD396</f>
        <v>1-3</v>
      </c>
      <c r="G430" s="523">
        <f>L_CViec!AE396</f>
        <v>0.05</v>
      </c>
      <c r="H430" s="879">
        <f>L_CViec!AF396</f>
        <v>0.05</v>
      </c>
      <c r="I430" s="879">
        <f>L_CViec!AG396</f>
        <v>0.05</v>
      </c>
      <c r="J430" s="294">
        <f>L_CViec!AH396</f>
        <v>296770.5</v>
      </c>
      <c r="K430" s="294">
        <f t="shared" si="50"/>
        <v>14838.525000000001</v>
      </c>
      <c r="L430" s="294">
        <f t="shared" si="51"/>
        <v>14838.525000000001</v>
      </c>
      <c r="M430" s="294">
        <f t="shared" si="52"/>
        <v>14838.525000000001</v>
      </c>
      <c r="N430" s="1091">
        <f>$D430*G430*L_CBac!$J$68</f>
        <v>1278.2250000000001</v>
      </c>
      <c r="O430" s="1091">
        <f>$D430*H430*L_CBac!$J$68</f>
        <v>1278.2250000000001</v>
      </c>
      <c r="P430" s="1091">
        <f>$D430*I430*L_CBac!$J$68</f>
        <v>1278.2250000000001</v>
      </c>
      <c r="Q430" s="903">
        <f>$D430*G430*L_CBac!$J$69</f>
        <v>1403.846153846154</v>
      </c>
      <c r="R430" s="903">
        <f>$D430*H430*L_CBac!$J$69</f>
        <v>1403.846153846154</v>
      </c>
      <c r="S430" s="903">
        <f>$D430*I430*L_CBac!$J$69</f>
        <v>1403.846153846154</v>
      </c>
    </row>
    <row r="431" spans="1:19" s="471" customFormat="1">
      <c r="A431" s="523">
        <f>L_CViec!A397</f>
        <v>6.2</v>
      </c>
      <c r="B431" s="525" t="str">
        <f>L_CViec!B397</f>
        <v>Theo hình thức trực tuyến</v>
      </c>
      <c r="C431" s="523" t="str">
        <f>L_CViec!AB397</f>
        <v>Hồ sơ</v>
      </c>
      <c r="D431" s="523">
        <f>L_CViec!AA397</f>
        <v>1</v>
      </c>
      <c r="E431" s="523" t="str">
        <f>L_CViec!AC397</f>
        <v>1KS2</v>
      </c>
      <c r="F431" s="523" t="str">
        <f>L_CViec!AD397</f>
        <v>1-3</v>
      </c>
      <c r="G431" s="523">
        <f>L_CViec!AE397</f>
        <v>0.04</v>
      </c>
      <c r="H431" s="879">
        <f>L_CViec!AF397</f>
        <v>0.04</v>
      </c>
      <c r="I431" s="879">
        <f>L_CViec!AG397</f>
        <v>0.04</v>
      </c>
      <c r="J431" s="294">
        <f>L_CViec!AH397</f>
        <v>296770.5</v>
      </c>
      <c r="K431" s="294">
        <f t="shared" si="50"/>
        <v>11870.82</v>
      </c>
      <c r="L431" s="294">
        <f t="shared" si="51"/>
        <v>11870.82</v>
      </c>
      <c r="M431" s="294">
        <f t="shared" si="52"/>
        <v>11870.82</v>
      </c>
      <c r="N431" s="1091">
        <f>$D431*G431*L_CBac!$J$68</f>
        <v>1022.58</v>
      </c>
      <c r="O431" s="1091">
        <f>$D431*H431*L_CBac!$J$68</f>
        <v>1022.58</v>
      </c>
      <c r="P431" s="1091">
        <f>$D431*I431*L_CBac!$J$68</f>
        <v>1022.58</v>
      </c>
      <c r="Q431" s="903">
        <f>$D431*G431*L_CBac!$J$69</f>
        <v>1123.0769230769231</v>
      </c>
      <c r="R431" s="903">
        <f>$D431*H431*L_CBac!$J$69</f>
        <v>1123.0769230769231</v>
      </c>
      <c r="S431" s="903">
        <f>$D431*I431*L_CBac!$J$69</f>
        <v>1123.0769230769231</v>
      </c>
    </row>
    <row r="432" spans="1:19" s="471" customFormat="1" ht="89.25">
      <c r="A432" s="523" t="str">
        <f>L_CViec!A398</f>
        <v>7</v>
      </c>
      <c r="B432" s="525" t="str">
        <f>L_CViec!B398</f>
        <v>Kiểm tra các điều kiện thực hiện quyền theo quy định của Luật Đất đai đối với trường hợp thực hiện quyền của người sử dụng đất, của chủ sở hữu tài sản gắn liền với đất. Trường hợp không đủ điều kiện thực hiện quyền theo quy định của Luật Đất đai hoặc nhận được một trong các văn bản của cơ quan có thẩm quyền về việc dừng giải quyết thủ tục thì thông báo lý do và trả hồ sơ</v>
      </c>
      <c r="C432" s="523" t="str">
        <f>L_CViec!AB398</f>
        <v>Hồ sơ</v>
      </c>
      <c r="D432" s="523">
        <f>L_CViec!AA398</f>
        <v>2</v>
      </c>
      <c r="E432" s="523" t="str">
        <f>L_CViec!AC398</f>
        <v xml:space="preserve">1KS2, 1KTV4 </v>
      </c>
      <c r="F432" s="523" t="str">
        <f>L_CViec!AD398</f>
        <v>1-3</v>
      </c>
      <c r="G432" s="523">
        <f>L_CViec!AE398</f>
        <v>0.6</v>
      </c>
      <c r="H432" s="879">
        <f>L_CViec!AF398</f>
        <v>0.9</v>
      </c>
      <c r="I432" s="879">
        <f>L_CViec!AG398</f>
        <v>1.08</v>
      </c>
      <c r="J432" s="294">
        <f>L_CViec!AH398</f>
        <v>570199.5</v>
      </c>
      <c r="K432" s="294">
        <f t="shared" si="50"/>
        <v>342119.7</v>
      </c>
      <c r="L432" s="294">
        <f t="shared" si="51"/>
        <v>513179.55</v>
      </c>
      <c r="M432" s="294">
        <f t="shared" si="52"/>
        <v>615815.46000000008</v>
      </c>
      <c r="N432" s="1090">
        <f>$D432*G432*L_CBac!$J$68</f>
        <v>30677.399999999998</v>
      </c>
      <c r="O432" s="1090">
        <f>$D432*H432*L_CBac!$J$68</f>
        <v>46016.1</v>
      </c>
      <c r="P432" s="1090">
        <f>$D432*I432*L_CBac!$J$68</f>
        <v>55219.320000000007</v>
      </c>
      <c r="Q432" s="903">
        <f>$D432*G432*L_CBac!$J$69</f>
        <v>33692.307692307695</v>
      </c>
      <c r="R432" s="903">
        <f>$D432*H432*L_CBac!$J$69</f>
        <v>50538.461538461539</v>
      </c>
      <c r="S432" s="903">
        <f>$D432*I432*L_CBac!$J$69</f>
        <v>60646.153846153851</v>
      </c>
    </row>
    <row r="433" spans="1:19" s="471" customFormat="1" ht="63.75">
      <c r="A433" s="523">
        <f>L_CViec!A399</f>
        <v>8</v>
      </c>
      <c r="B433" s="525" t="str">
        <f>L_CViec!B399</f>
        <v>Thông báo bằng văn bản cho bên chuyển quyền hoặc thực hiện đăng tin 03 lần trên phương tiện thông tin đại chúng ở địa phương đối với trường hợp cấp Giấy chứng nhận diện tích tăng thêm hoặc thông báo cho người sử dụng đất về hủy kết quả đăng ký</v>
      </c>
      <c r="C433" s="523" t="str">
        <f>L_CViec!AB399</f>
        <v>Hồ sơ</v>
      </c>
      <c r="D433" s="523">
        <f>L_CViec!AA399</f>
        <v>1</v>
      </c>
      <c r="E433" s="523" t="str">
        <f>L_CViec!AC399</f>
        <v>1KS3</v>
      </c>
      <c r="F433" s="523" t="str">
        <f>L_CViec!AD399</f>
        <v>1-3</v>
      </c>
      <c r="G433" s="523">
        <f>L_CViec!AE399</f>
        <v>0.2</v>
      </c>
      <c r="H433" s="879">
        <f>L_CViec!AF399</f>
        <v>0.2</v>
      </c>
      <c r="I433" s="879">
        <f>L_CViec!AG399</f>
        <v>0.26</v>
      </c>
      <c r="J433" s="294">
        <f>L_CViec!AH399</f>
        <v>333450</v>
      </c>
      <c r="K433" s="294">
        <f t="shared" si="50"/>
        <v>66690</v>
      </c>
      <c r="L433" s="294">
        <f t="shared" si="51"/>
        <v>66690</v>
      </c>
      <c r="M433" s="294">
        <f t="shared" si="52"/>
        <v>86697</v>
      </c>
      <c r="N433" s="1091">
        <f>$D433*G433*L_CBac!$J$68</f>
        <v>5112.9000000000005</v>
      </c>
      <c r="O433" s="1091">
        <f>$D433*H433*L_CBac!$J$68</f>
        <v>5112.9000000000005</v>
      </c>
      <c r="P433" s="1091">
        <f>$D433*I433*L_CBac!$J$68</f>
        <v>6646.77</v>
      </c>
      <c r="Q433" s="903">
        <f>$D433*G433*L_CBac!$J$69</f>
        <v>5615.3846153846162</v>
      </c>
      <c r="R433" s="903">
        <f>$D433*H433*L_CBac!$J$69</f>
        <v>5615.3846153846162</v>
      </c>
      <c r="S433" s="903">
        <f>$D433*I433*L_CBac!$J$69</f>
        <v>7300.0000000000009</v>
      </c>
    </row>
    <row r="434" spans="1:19" s="471" customFormat="1">
      <c r="A434" s="523">
        <f>L_CViec!A400</f>
        <v>9</v>
      </c>
      <c r="B434" s="525" t="str">
        <f>L_CViec!B400</f>
        <v>Thông báo cho chủ đầu tư cung cấp các giấy tờ quy định</v>
      </c>
      <c r="C434" s="523" t="str">
        <f>L_CViec!AB400</f>
        <v>Hồ sơ</v>
      </c>
      <c r="D434" s="523">
        <f>L_CViec!AA400</f>
        <v>1</v>
      </c>
      <c r="E434" s="523" t="str">
        <f>L_CViec!AC400</f>
        <v>1KS3</v>
      </c>
      <c r="F434" s="523" t="str">
        <f>L_CViec!AD400</f>
        <v>1-3</v>
      </c>
      <c r="G434" s="523">
        <f>L_CViec!AE400</f>
        <v>0.3</v>
      </c>
      <c r="H434" s="879">
        <f>L_CViec!AF400</f>
        <v>0.3</v>
      </c>
      <c r="I434" s="879">
        <f>L_CViec!AG400</f>
        <v>0.4</v>
      </c>
      <c r="J434" s="294">
        <f>L_CViec!AH400</f>
        <v>333450</v>
      </c>
      <c r="K434" s="294">
        <f t="shared" ref="K434:K463" si="53">G434*$J434</f>
        <v>100035</v>
      </c>
      <c r="L434" s="294">
        <f t="shared" ref="L434:L463" si="54">H434*$J434</f>
        <v>100035</v>
      </c>
      <c r="M434" s="294">
        <f t="shared" ref="M434:M463" si="55">I434*$J434</f>
        <v>133380</v>
      </c>
      <c r="N434" s="1091">
        <f>$D434*G434*L_CBac!$J$68</f>
        <v>7669.3499999999995</v>
      </c>
      <c r="O434" s="1091">
        <f>$D434*H434*L_CBac!$J$68</f>
        <v>7669.3499999999995</v>
      </c>
      <c r="P434" s="1091">
        <f>$D434*I434*L_CBac!$J$68</f>
        <v>10225.800000000001</v>
      </c>
      <c r="Q434" s="903">
        <f>$D434*G434*L_CBac!$J$69</f>
        <v>8423.0769230769238</v>
      </c>
      <c r="R434" s="903">
        <f>$D434*H434*L_CBac!$J$69</f>
        <v>8423.0769230769238</v>
      </c>
      <c r="S434" s="903">
        <f>$D434*I434*L_CBac!$J$69</f>
        <v>11230.769230769232</v>
      </c>
    </row>
    <row r="435" spans="1:19" s="85" customFormat="1" ht="25.5">
      <c r="A435" s="523">
        <f>L_CViec!A401</f>
        <v>10</v>
      </c>
      <c r="B435" s="525" t="str">
        <f>L_CViec!B401</f>
        <v>Hướng dẫn các bên nộp đơn đến cơ quan nhà nước có thẩm quyền giải quyết tranh chấp theo quy định</v>
      </c>
      <c r="C435" s="523" t="str">
        <f>L_CViec!AB401</f>
        <v>Hồ sơ</v>
      </c>
      <c r="D435" s="523">
        <f>L_CViec!AA401</f>
        <v>1</v>
      </c>
      <c r="E435" s="523" t="str">
        <f>L_CViec!AC401</f>
        <v>1KS3</v>
      </c>
      <c r="F435" s="523" t="str">
        <f>L_CViec!AD401</f>
        <v>1-3</v>
      </c>
      <c r="G435" s="523">
        <f>L_CViec!AE401</f>
        <v>0.2</v>
      </c>
      <c r="H435" s="879">
        <f>L_CViec!AF401</f>
        <v>0.2</v>
      </c>
      <c r="I435" s="879">
        <f>L_CViec!AG401</f>
        <v>0.26</v>
      </c>
      <c r="J435" s="294">
        <f>L_CViec!AH401</f>
        <v>333450</v>
      </c>
      <c r="K435" s="294">
        <f t="shared" si="53"/>
        <v>66690</v>
      </c>
      <c r="L435" s="294">
        <f t="shared" si="54"/>
        <v>66690</v>
      </c>
      <c r="M435" s="294">
        <f t="shared" si="55"/>
        <v>86697</v>
      </c>
      <c r="N435" s="1090">
        <f>$D435*G435*L_CBac!$J$68</f>
        <v>5112.9000000000005</v>
      </c>
      <c r="O435" s="1090">
        <f>$D435*H435*L_CBac!$J$68</f>
        <v>5112.9000000000005</v>
      </c>
      <c r="P435" s="1090">
        <f>$D435*I435*L_CBac!$J$68</f>
        <v>6646.77</v>
      </c>
      <c r="Q435" s="294">
        <f>$D435*G435*L_CBac!$J$69</f>
        <v>5615.3846153846162</v>
      </c>
      <c r="R435" s="294">
        <f>$D435*H435*L_CBac!$J$69</f>
        <v>5615.3846153846162</v>
      </c>
      <c r="S435" s="294">
        <f>$D435*I435*L_CBac!$J$69</f>
        <v>7300.0000000000009</v>
      </c>
    </row>
    <row r="436" spans="1:19" s="85" customFormat="1" ht="76.5">
      <c r="A436" s="523">
        <f>L_CViec!A402</f>
        <v>11</v>
      </c>
      <c r="B436" s="525" t="str">
        <f>L_CViec!B402</f>
        <v>Kiểm tra hồ sơ cấp Giấy chứng nhận trước đây, trình cơ quan có thẩm quyền xác định lại diện tích đất ở hoặc trình cơ quan có thẩm quyền  ký, ban hành quyết định cho phép chuyển mục đích sử dụng đất hoặc lập biên bản kết luận về nội dung và nguyên nhân sai sót hoặc trình, quyết định thu hồi Giấy chứng nhận</v>
      </c>
      <c r="C436" s="523" t="str">
        <f>L_CViec!AB402</f>
        <v>Hồ sơ</v>
      </c>
      <c r="D436" s="523">
        <f>L_CViec!AA402</f>
        <v>1</v>
      </c>
      <c r="E436" s="523" t="str">
        <f>L_CViec!AC402</f>
        <v>1KS3</v>
      </c>
      <c r="F436" s="523" t="str">
        <f>L_CViec!AD402</f>
        <v>1-3</v>
      </c>
      <c r="G436" s="523">
        <f>L_CViec!AE402</f>
        <v>1</v>
      </c>
      <c r="H436" s="879">
        <f>L_CViec!AF402</f>
        <v>1</v>
      </c>
      <c r="I436" s="879">
        <f>L_CViec!AG402</f>
        <v>1.2</v>
      </c>
      <c r="J436" s="294">
        <f>L_CViec!AH402</f>
        <v>333450</v>
      </c>
      <c r="K436" s="294">
        <f t="shared" si="53"/>
        <v>333450</v>
      </c>
      <c r="L436" s="294">
        <f t="shared" si="54"/>
        <v>333450</v>
      </c>
      <c r="M436" s="294">
        <f t="shared" si="55"/>
        <v>400140</v>
      </c>
      <c r="N436" s="1091">
        <f>$D436*G436*L_CBac!$J$68</f>
        <v>25564.5</v>
      </c>
      <c r="O436" s="1091">
        <f>$D436*H436*L_CBac!$J$68</f>
        <v>25564.5</v>
      </c>
      <c r="P436" s="1091">
        <f>$D436*I436*L_CBac!$J$68</f>
        <v>30677.399999999998</v>
      </c>
      <c r="Q436" s="294"/>
      <c r="R436" s="294"/>
      <c r="S436" s="294"/>
    </row>
    <row r="437" spans="1:19" s="111" customFormat="1" ht="38.25">
      <c r="A437" s="523">
        <f>L_CViec!A403</f>
        <v>12</v>
      </c>
      <c r="B437" s="525" t="str">
        <f>L_CViec!B403</f>
        <v>Thông báo bằng văn bản cho cơ quan thuế về việc chấm dứt quyền và nghĩa vụ của bên chuyển quyền sử dụng đất, quyền sở hữu tài sản gắn liền với đất trong hợp đồng thuê đất</v>
      </c>
      <c r="C437" s="523" t="str">
        <f>L_CViec!AB403</f>
        <v>Hồ sơ</v>
      </c>
      <c r="D437" s="523">
        <f>L_CViec!AA403</f>
        <v>1</v>
      </c>
      <c r="E437" s="523" t="str">
        <f>L_CViec!AC403</f>
        <v>1KS3</v>
      </c>
      <c r="F437" s="523" t="str">
        <f>L_CViec!AD403</f>
        <v>1-3</v>
      </c>
      <c r="G437" s="523">
        <f>L_CViec!AE403</f>
        <v>1</v>
      </c>
      <c r="H437" s="879">
        <f>L_CViec!AF403</f>
        <v>1</v>
      </c>
      <c r="I437" s="879">
        <f>L_CViec!AG403</f>
        <v>1.2</v>
      </c>
      <c r="J437" s="294">
        <f>L_CViec!AH403</f>
        <v>333450</v>
      </c>
      <c r="K437" s="294">
        <f t="shared" si="53"/>
        <v>333450</v>
      </c>
      <c r="L437" s="294">
        <f t="shared" si="54"/>
        <v>333450</v>
      </c>
      <c r="M437" s="294">
        <f t="shared" si="55"/>
        <v>400140</v>
      </c>
      <c r="N437" s="1091">
        <f>$D437*G437*L_CBac!$J$68</f>
        <v>25564.5</v>
      </c>
      <c r="O437" s="1091">
        <f>$D437*H437*L_CBac!$J$68</f>
        <v>25564.5</v>
      </c>
      <c r="P437" s="1091">
        <f>$D437*I437*L_CBac!$J$68</f>
        <v>30677.399999999998</v>
      </c>
      <c r="Q437" s="294">
        <f>$D437*G437*L_CBac!$J$69</f>
        <v>28076.923076923078</v>
      </c>
      <c r="R437" s="294">
        <f>$D437*H437*L_CBac!$J$69</f>
        <v>28076.923076923078</v>
      </c>
      <c r="S437" s="294">
        <f>$D437*I437*L_CBac!$J$69</f>
        <v>33692.307692307695</v>
      </c>
    </row>
    <row r="438" spans="1:19" s="111" customFormat="1" ht="63.75">
      <c r="A438" s="523">
        <f>L_CViec!A404</f>
        <v>13</v>
      </c>
      <c r="B438" s="525" t="str">
        <f>L_CViec!B404</f>
        <v>Thông báo cho người có quyền và nghĩa vụ liên quan theo quy định của pháp luật dân sự nộp giấy tờ chứng minh để tiếp tục thực hiện thủ tục đối với trường hợp người sử dụng đất, chủ sở hữu tài sản gắn liền với đất không tiếp tục thực hiện thủ tục</v>
      </c>
      <c r="C438" s="523" t="str">
        <f>L_CViec!AB404</f>
        <v>Hồ sơ</v>
      </c>
      <c r="D438" s="523">
        <f>L_CViec!AA404</f>
        <v>1</v>
      </c>
      <c r="E438" s="523" t="str">
        <f>L_CViec!AC404</f>
        <v>1KS3</v>
      </c>
      <c r="F438" s="523" t="str">
        <f>L_CViec!AD404</f>
        <v>1-3</v>
      </c>
      <c r="G438" s="523">
        <f>L_CViec!AE404</f>
        <v>0.2</v>
      </c>
      <c r="H438" s="879">
        <f>L_CViec!AF404</f>
        <v>0.2</v>
      </c>
      <c r="I438" s="879">
        <f>L_CViec!AG404</f>
        <v>0.26</v>
      </c>
      <c r="J438" s="294">
        <f>L_CViec!AH404</f>
        <v>333450</v>
      </c>
      <c r="K438" s="294">
        <f t="shared" si="53"/>
        <v>66690</v>
      </c>
      <c r="L438" s="294">
        <f t="shared" si="54"/>
        <v>66690</v>
      </c>
      <c r="M438" s="294">
        <f t="shared" si="55"/>
        <v>86697</v>
      </c>
      <c r="N438" s="1090">
        <f>$D438*G438*L_CBac!$J$68</f>
        <v>5112.9000000000005</v>
      </c>
      <c r="O438" s="1090">
        <f>$D438*H438*L_CBac!$J$68</f>
        <v>5112.9000000000005</v>
      </c>
      <c r="P438" s="1090">
        <f>$D438*I438*L_CBac!$J$68</f>
        <v>6646.77</v>
      </c>
      <c r="Q438" s="294">
        <f>$D438*G438*L_CBac!$J$69</f>
        <v>5615.3846153846162</v>
      </c>
      <c r="R438" s="294">
        <f>$D438*H438*L_CBac!$J$69</f>
        <v>5615.3846153846162</v>
      </c>
      <c r="S438" s="294">
        <f>$D438*I438*L_CBac!$J$69</f>
        <v>7300.0000000000009</v>
      </c>
    </row>
    <row r="439" spans="1:19" s="902" customFormat="1" ht="38.25">
      <c r="A439" s="523">
        <f>L_CViec!A405</f>
        <v>14</v>
      </c>
      <c r="B439" s="525" t="str">
        <f>L_CViec!B405</f>
        <v>Niêm yết tại trụ sở Ủy ban nhân dân cấp xã,phường,đặc khu nơi có đất về việc làm thủ tục cấp Giấy chứng nhận cho người nhận chuyển quyền</v>
      </c>
      <c r="C439" s="523" t="str">
        <f>L_CViec!AB405</f>
        <v>Hồ sơ</v>
      </c>
      <c r="D439" s="523">
        <f>L_CViec!AA405</f>
        <v>1</v>
      </c>
      <c r="E439" s="523" t="str">
        <f>L_CViec!AC405</f>
        <v>1KTV4</v>
      </c>
      <c r="F439" s="523" t="str">
        <f>L_CViec!AD405</f>
        <v>1-3</v>
      </c>
      <c r="G439" s="523">
        <f>L_CViec!AE405</f>
        <v>0.06</v>
      </c>
      <c r="H439" s="879">
        <f>L_CViec!AF405</f>
        <v>0.06</v>
      </c>
      <c r="I439" s="879">
        <f>L_CViec!AG405</f>
        <v>7.8E-2</v>
      </c>
      <c r="J439" s="294">
        <f>L_CViec!AH405</f>
        <v>273429.00000000006</v>
      </c>
      <c r="K439" s="294">
        <f t="shared" si="53"/>
        <v>16405.740000000002</v>
      </c>
      <c r="L439" s="294">
        <f t="shared" si="54"/>
        <v>16405.740000000002</v>
      </c>
      <c r="M439" s="294">
        <f t="shared" si="55"/>
        <v>21327.462000000003</v>
      </c>
      <c r="N439" s="1091">
        <f>$D439*G439*L_CBac!$J$68</f>
        <v>1533.87</v>
      </c>
      <c r="O439" s="1091">
        <f>$D439*H439*L_CBac!$J$68</f>
        <v>1533.87</v>
      </c>
      <c r="P439" s="1091">
        <f>$D439*I439*L_CBac!$J$68</f>
        <v>1994.0309999999999</v>
      </c>
      <c r="Q439" s="903">
        <f>$D439*G439*L_CBac!$J$69</f>
        <v>1684.6153846153845</v>
      </c>
      <c r="R439" s="903">
        <f>$D439*H439*L_CBac!$J$69</f>
        <v>1684.6153846153845</v>
      </c>
      <c r="S439" s="903">
        <f>$D439*I439*L_CBac!$J$69</f>
        <v>2190</v>
      </c>
    </row>
    <row r="440" spans="1:19" s="902" customFormat="1" ht="51">
      <c r="A440" s="523">
        <f>L_CViec!A406</f>
        <v>15</v>
      </c>
      <c r="B440" s="525" t="str">
        <f>L_CViec!B406</f>
        <v>Xác nhận hiện trạng sử dụng đất, tình trạng tranh chấp đất đai, tài sản gắn liền với đất, xác nhận đất sử dụng ổn định, xác nhận nguồn gốc sử dụng đất, xác nhận sự phù hợp với quy hoạch</v>
      </c>
      <c r="C440" s="523" t="str">
        <f>L_CViec!AB406</f>
        <v>Hồ sơ</v>
      </c>
      <c r="D440" s="523">
        <f>L_CViec!AA406</f>
        <v>1</v>
      </c>
      <c r="E440" s="523" t="str">
        <f>L_CViec!AC406</f>
        <v>1KS2</v>
      </c>
      <c r="F440" s="523" t="str">
        <f>L_CViec!AD406</f>
        <v>1-3</v>
      </c>
      <c r="G440" s="523">
        <f>L_CViec!AE406</f>
        <v>0.05</v>
      </c>
      <c r="H440" s="879">
        <f>L_CViec!AF406</f>
        <v>0.05</v>
      </c>
      <c r="I440" s="879">
        <f>L_CViec!AG406</f>
        <v>6.5000000000000002E-2</v>
      </c>
      <c r="J440" s="294">
        <f>L_CViec!AH406</f>
        <v>296770.5</v>
      </c>
      <c r="K440" s="294">
        <f t="shared" si="53"/>
        <v>14838.525000000001</v>
      </c>
      <c r="L440" s="294">
        <f t="shared" si="54"/>
        <v>14838.525000000001</v>
      </c>
      <c r="M440" s="294">
        <f t="shared" si="55"/>
        <v>19290.0825</v>
      </c>
      <c r="N440" s="1091">
        <f>$D440*G440*L_CBac!$J$68</f>
        <v>1278.2250000000001</v>
      </c>
      <c r="O440" s="1091">
        <f>$D440*H440*L_CBac!$J$68</f>
        <v>1278.2250000000001</v>
      </c>
      <c r="P440" s="1091">
        <f>$D440*I440*L_CBac!$J$68</f>
        <v>1661.6925000000001</v>
      </c>
      <c r="Q440" s="903">
        <f>$D440*G440*L_CBac!$J$69</f>
        <v>1403.846153846154</v>
      </c>
      <c r="R440" s="903">
        <f>$D440*H440*L_CBac!$J$69</f>
        <v>1403.846153846154</v>
      </c>
      <c r="S440" s="903">
        <f>$D440*I440*L_CBac!$J$69</f>
        <v>1825.0000000000002</v>
      </c>
    </row>
    <row r="441" spans="1:19" s="902" customFormat="1" ht="38.25">
      <c r="A441" s="523">
        <f>L_CViec!A407</f>
        <v>16</v>
      </c>
      <c r="B441" s="525" t="str">
        <f>L_CViec!B407</f>
        <v>Chuyển Văn phòng đăng ký đất đai, Chi nhánh Văn phòng đăng ký đất đai văn bản về xác nhận về tình trạng sạt lở tự nhiên hoặc văn bản về việc tặng cho quyền sử dụng đất</v>
      </c>
      <c r="C441" s="523" t="str">
        <f>L_CViec!AB407</f>
        <v>Hồ sơ</v>
      </c>
      <c r="D441" s="523">
        <f>L_CViec!AA407</f>
        <v>1</v>
      </c>
      <c r="E441" s="523" t="str">
        <f>L_CViec!AC407</f>
        <v>1KS2</v>
      </c>
      <c r="F441" s="523" t="str">
        <f>L_CViec!AD407</f>
        <v>1-3</v>
      </c>
      <c r="G441" s="523">
        <f>L_CViec!AE407</f>
        <v>0.1</v>
      </c>
      <c r="H441" s="879">
        <f>L_CViec!AF407</f>
        <v>0.1</v>
      </c>
      <c r="I441" s="879">
        <f>L_CViec!AG407</f>
        <v>0.15</v>
      </c>
      <c r="J441" s="294">
        <f>L_CViec!AH407</f>
        <v>296770.5</v>
      </c>
      <c r="K441" s="294">
        <f t="shared" si="53"/>
        <v>29677.050000000003</v>
      </c>
      <c r="L441" s="294">
        <f t="shared" si="54"/>
        <v>29677.050000000003</v>
      </c>
      <c r="M441" s="294">
        <f t="shared" si="55"/>
        <v>44515.574999999997</v>
      </c>
      <c r="N441" s="1090">
        <f>$D441*G441*L_CBac!$J$68</f>
        <v>2556.4500000000003</v>
      </c>
      <c r="O441" s="1090">
        <f>$D441*H441*L_CBac!$J$68</f>
        <v>2556.4500000000003</v>
      </c>
      <c r="P441" s="1090">
        <f>$D441*I441*L_CBac!$J$68</f>
        <v>3834.6749999999997</v>
      </c>
      <c r="Q441" s="903">
        <f>$D441*G441*L_CBac!$J$69</f>
        <v>2807.6923076923081</v>
      </c>
      <c r="R441" s="903">
        <f>$D441*H441*L_CBac!$J$69</f>
        <v>2807.6923076923081</v>
      </c>
      <c r="S441" s="903">
        <f>$D441*I441*L_CBac!$J$69</f>
        <v>4211.5384615384619</v>
      </c>
    </row>
    <row r="442" spans="1:19" s="902" customFormat="1">
      <c r="A442" s="523" t="str">
        <f>L_CViec!A408</f>
        <v>17</v>
      </c>
      <c r="B442" s="525" t="str">
        <f>L_CViec!B408</f>
        <v>Nhập nội dung xác nhận vào tệp (File) dữ liệu hồ sơ số</v>
      </c>
      <c r="C442" s="523" t="str">
        <f>L_CViec!AB408</f>
        <v>Thửa</v>
      </c>
      <c r="D442" s="523">
        <f>L_CViec!AA408</f>
        <v>1</v>
      </c>
      <c r="E442" s="523" t="str">
        <f>L_CViec!AC408</f>
        <v>1KS3</v>
      </c>
      <c r="F442" s="523" t="str">
        <f>L_CViec!AD408</f>
        <v>1-3</v>
      </c>
      <c r="G442" s="523">
        <f>L_CViec!AE408</f>
        <v>6.0000000000000001E-3</v>
      </c>
      <c r="H442" s="879">
        <f>L_CViec!AF408</f>
        <v>6.0000000000000001E-3</v>
      </c>
      <c r="I442" s="879">
        <f>L_CViec!AG408</f>
        <v>6.0000000000000001E-3</v>
      </c>
      <c r="J442" s="294">
        <f>L_CViec!AH408</f>
        <v>333450</v>
      </c>
      <c r="K442" s="294">
        <f t="shared" si="53"/>
        <v>2000.7</v>
      </c>
      <c r="L442" s="294">
        <f t="shared" si="54"/>
        <v>2000.7</v>
      </c>
      <c r="M442" s="294">
        <f t="shared" si="55"/>
        <v>2000.7</v>
      </c>
      <c r="N442" s="1091">
        <f>$D442*G442*L_CBac!$J$68</f>
        <v>153.387</v>
      </c>
      <c r="O442" s="1091">
        <f>$D442*H442*L_CBac!$J$68</f>
        <v>153.387</v>
      </c>
      <c r="P442" s="1091">
        <f>$D442*I442*L_CBac!$J$68</f>
        <v>153.387</v>
      </c>
      <c r="Q442" s="903"/>
      <c r="R442" s="903"/>
      <c r="S442" s="903"/>
    </row>
    <row r="443" spans="1:19" s="902" customFormat="1" ht="25.5" customHeight="1">
      <c r="A443" s="523" t="str">
        <f>L_CViec!A409</f>
        <v>18</v>
      </c>
      <c r="B443" s="525" t="str">
        <f>L_CViec!B409</f>
        <v>Trích lục bản đồ địa chính hoặc trích đo bản đồ địa chính</v>
      </c>
      <c r="C443" s="523">
        <f>L_CViec!AB409</f>
        <v>0</v>
      </c>
      <c r="D443" s="523">
        <f>L_CViec!AA409</f>
        <v>0</v>
      </c>
      <c r="E443" s="523">
        <f>L_CViec!AC409</f>
        <v>0</v>
      </c>
      <c r="F443" s="523">
        <f>L_CViec!AD409</f>
        <v>0</v>
      </c>
      <c r="G443" s="523">
        <f>L_CViec!AE409</f>
        <v>0</v>
      </c>
      <c r="H443" s="879">
        <f>L_CViec!AF409</f>
        <v>0</v>
      </c>
      <c r="I443" s="879">
        <f>L_CViec!AG409</f>
        <v>0</v>
      </c>
      <c r="J443" s="294">
        <f>L_CViec!AH409</f>
        <v>0</v>
      </c>
      <c r="K443" s="294">
        <f t="shared" si="53"/>
        <v>0</v>
      </c>
      <c r="L443" s="294">
        <f t="shared" si="54"/>
        <v>0</v>
      </c>
      <c r="M443" s="294">
        <f t="shared" si="55"/>
        <v>0</v>
      </c>
      <c r="N443" s="1091">
        <f>$D443*G443*L_CBac!$J$68</f>
        <v>0</v>
      </c>
      <c r="O443" s="1091">
        <f>$D443*H443*L_CBac!$J$68</f>
        <v>0</v>
      </c>
      <c r="P443" s="1091">
        <f>$D443*I443*L_CBac!$J$68</f>
        <v>0</v>
      </c>
      <c r="Q443" s="903">
        <f>$D443*G443*L_CBac!$J$69</f>
        <v>0</v>
      </c>
      <c r="R443" s="903">
        <f>$D443*H443*L_CBac!$J$69</f>
        <v>0</v>
      </c>
      <c r="S443" s="903">
        <f>$D443*I443*L_CBac!$J$69</f>
        <v>0</v>
      </c>
    </row>
    <row r="444" spans="1:19" s="902" customFormat="1">
      <c r="A444" s="523" t="str">
        <f>L_CViec!A410</f>
        <v>18.1</v>
      </c>
      <c r="B444" s="525" t="str">
        <f>L_CViec!B410</f>
        <v>Trích lục trên bản đồ dạng số</v>
      </c>
      <c r="C444" s="523" t="str">
        <f>L_CViec!AB410</f>
        <v>Hồ sơ</v>
      </c>
      <c r="D444" s="523">
        <f>L_CViec!AA410</f>
        <v>1</v>
      </c>
      <c r="E444" s="523" t="str">
        <f>L_CViec!AC410</f>
        <v>1KS2</v>
      </c>
      <c r="F444" s="523" t="str">
        <f>L_CViec!AD410</f>
        <v>1-3</v>
      </c>
      <c r="G444" s="523">
        <f>L_CViec!AE410</f>
        <v>0.05</v>
      </c>
      <c r="H444" s="879">
        <f>L_CViec!AF410</f>
        <v>0</v>
      </c>
      <c r="I444" s="879">
        <f>L_CViec!AG410</f>
        <v>0.05</v>
      </c>
      <c r="J444" s="294">
        <f>L_CViec!AH410</f>
        <v>296770.5</v>
      </c>
      <c r="K444" s="294">
        <f t="shared" si="53"/>
        <v>14838.525000000001</v>
      </c>
      <c r="L444" s="294">
        <f t="shared" si="54"/>
        <v>0</v>
      </c>
      <c r="M444" s="294">
        <f t="shared" si="55"/>
        <v>14838.525000000001</v>
      </c>
      <c r="N444" s="1090">
        <f>$D444*G444*L_CBac!$J$68</f>
        <v>1278.2250000000001</v>
      </c>
      <c r="O444" s="1090">
        <f>$D444*H444*L_CBac!$J$68</f>
        <v>0</v>
      </c>
      <c r="P444" s="1090">
        <f>$D444*I444*L_CBac!$J$68</f>
        <v>1278.2250000000001</v>
      </c>
      <c r="Q444" s="903">
        <f>$D444*G444*L_CBac!$J$69</f>
        <v>1403.846153846154</v>
      </c>
      <c r="R444" s="903">
        <f>$D444*H444*L_CBac!$J$69</f>
        <v>0</v>
      </c>
      <c r="S444" s="903">
        <f>$D444*I444*L_CBac!$J$69</f>
        <v>1403.846153846154</v>
      </c>
    </row>
    <row r="445" spans="1:19" s="85" customFormat="1">
      <c r="A445" s="523" t="str">
        <f>L_CViec!A411</f>
        <v>18.2</v>
      </c>
      <c r="B445" s="525" t="str">
        <f>L_CViec!B411</f>
        <v>Trích lục trên bản đồ dạng giấy</v>
      </c>
      <c r="C445" s="523" t="str">
        <f>L_CViec!AB411</f>
        <v>Hồ sơ</v>
      </c>
      <c r="D445" s="523">
        <f>L_CViec!AA411</f>
        <v>1</v>
      </c>
      <c r="E445" s="523" t="str">
        <f>L_CViec!AC411</f>
        <v>1KS2</v>
      </c>
      <c r="F445" s="523" t="str">
        <f>L_CViec!AD411</f>
        <v>1-3</v>
      </c>
      <c r="G445" s="523">
        <f>L_CViec!AE411</f>
        <v>0.1</v>
      </c>
      <c r="H445" s="879">
        <f>L_CViec!AF411</f>
        <v>0</v>
      </c>
      <c r="I445" s="879">
        <f>L_CViec!AG411</f>
        <v>0.1</v>
      </c>
      <c r="J445" s="294">
        <f>L_CViec!AH411</f>
        <v>296770.5</v>
      </c>
      <c r="K445" s="294">
        <f t="shared" si="53"/>
        <v>29677.050000000003</v>
      </c>
      <c r="L445" s="294">
        <f t="shared" si="54"/>
        <v>0</v>
      </c>
      <c r="M445" s="294">
        <f t="shared" si="55"/>
        <v>29677.050000000003</v>
      </c>
      <c r="N445" s="1091">
        <f>$D445*G445*L_CBac!$J$68</f>
        <v>2556.4500000000003</v>
      </c>
      <c r="O445" s="1091">
        <f>$D445*H445*L_CBac!$J$68</f>
        <v>0</v>
      </c>
      <c r="P445" s="1091">
        <f>$D445*I445*L_CBac!$J$68</f>
        <v>2556.4500000000003</v>
      </c>
      <c r="Q445" s="294">
        <f>$D445*G445*L_CBac!$J$69</f>
        <v>2807.6923076923081</v>
      </c>
      <c r="R445" s="294">
        <f>$D445*H445*L_CBac!$J$69</f>
        <v>0</v>
      </c>
      <c r="S445" s="294">
        <f>$D445*I445*L_CBac!$J$69</f>
        <v>2807.6923076923081</v>
      </c>
    </row>
    <row r="446" spans="1:19" s="85" customFormat="1" ht="25.5">
      <c r="A446" s="523">
        <f>L_CViec!A412</f>
        <v>19</v>
      </c>
      <c r="B446" s="525" t="str">
        <f>L_CViec!B412</f>
        <v>Lập và gửi Phiếu chuyển thông tin để xác định nghĩa vụ tài chính về đất đai (nếu có)</v>
      </c>
      <c r="C446" s="523">
        <f>L_CViec!AB412</f>
        <v>0</v>
      </c>
      <c r="D446" s="523">
        <f>L_CViec!AA412</f>
        <v>1</v>
      </c>
      <c r="E446" s="523">
        <f>L_CViec!AC412</f>
        <v>0</v>
      </c>
      <c r="F446" s="523">
        <f>L_CViec!AD412</f>
        <v>0</v>
      </c>
      <c r="G446" s="523">
        <f>L_CViec!AE412</f>
        <v>0</v>
      </c>
      <c r="H446" s="879">
        <f>L_CViec!AF412</f>
        <v>0</v>
      </c>
      <c r="I446" s="879">
        <f>L_CViec!AG412</f>
        <v>0</v>
      </c>
      <c r="J446" s="294">
        <f>L_CViec!AH412</f>
        <v>0</v>
      </c>
      <c r="K446" s="294">
        <f t="shared" si="53"/>
        <v>0</v>
      </c>
      <c r="L446" s="294">
        <f t="shared" si="54"/>
        <v>0</v>
      </c>
      <c r="M446" s="294">
        <f t="shared" si="55"/>
        <v>0</v>
      </c>
      <c r="N446" s="1091">
        <f>$D446*G446*L_CBac!$J$68</f>
        <v>0</v>
      </c>
      <c r="O446" s="1091">
        <f>$D446*H446*L_CBac!$J$68</f>
        <v>0</v>
      </c>
      <c r="P446" s="1091">
        <f>$D446*I446*L_CBac!$J$68</f>
        <v>0</v>
      </c>
      <c r="Q446" s="294"/>
      <c r="R446" s="294"/>
      <c r="S446" s="294"/>
    </row>
    <row r="447" spans="1:19" s="111" customFormat="1">
      <c r="A447" s="523">
        <f>L_CViec!A413</f>
        <v>19.100000000000001</v>
      </c>
      <c r="B447" s="525" t="str">
        <f>L_CViec!B413</f>
        <v>Chuyển thông tin theo hình thức liên thông</v>
      </c>
      <c r="C447" s="523" t="str">
        <f>L_CViec!AB413</f>
        <v>Hồ sơ</v>
      </c>
      <c r="D447" s="523">
        <f>L_CViec!AA413</f>
        <v>1</v>
      </c>
      <c r="E447" s="523" t="str">
        <f>L_CViec!AC413</f>
        <v>1KS3</v>
      </c>
      <c r="F447" s="523" t="str">
        <f>L_CViec!AD413</f>
        <v>1-3</v>
      </c>
      <c r="G447" s="523">
        <f>L_CViec!AE413</f>
        <v>0.03</v>
      </c>
      <c r="H447" s="879">
        <f>L_CViec!AF413</f>
        <v>0.03</v>
      </c>
      <c r="I447" s="879">
        <f>L_CViec!AG413</f>
        <v>0.03</v>
      </c>
      <c r="J447" s="294">
        <f>L_CViec!AH413</f>
        <v>333450</v>
      </c>
      <c r="K447" s="294">
        <f t="shared" si="53"/>
        <v>10003.5</v>
      </c>
      <c r="L447" s="294">
        <f t="shared" si="54"/>
        <v>10003.5</v>
      </c>
      <c r="M447" s="294">
        <f t="shared" si="55"/>
        <v>10003.5</v>
      </c>
      <c r="N447" s="1090">
        <f>$D447*G447*L_CBac!$J$68</f>
        <v>766.93499999999995</v>
      </c>
      <c r="O447" s="1090">
        <f>$D447*H447*L_CBac!$J$68</f>
        <v>766.93499999999995</v>
      </c>
      <c r="P447" s="1090">
        <f>$D447*I447*L_CBac!$J$68</f>
        <v>766.93499999999995</v>
      </c>
      <c r="Q447" s="294">
        <f>$D447*G447*L_CBac!$J$69</f>
        <v>842.30769230769226</v>
      </c>
      <c r="R447" s="294">
        <f>$D447*H447*L_CBac!$J$69</f>
        <v>842.30769230769226</v>
      </c>
      <c r="S447" s="294">
        <f>$D447*I447*L_CBac!$J$69</f>
        <v>842.30769230769226</v>
      </c>
    </row>
    <row r="448" spans="1:19" s="111" customFormat="1">
      <c r="A448" s="523">
        <f>L_CViec!A414</f>
        <v>19.2</v>
      </c>
      <c r="B448" s="525" t="str">
        <f>L_CViec!B414</f>
        <v>Chuyển thông tin theo hình thức trực tiếp</v>
      </c>
      <c r="C448" s="523" t="str">
        <f>L_CViec!AB414</f>
        <v>Hồ sơ</v>
      </c>
      <c r="D448" s="523">
        <f>L_CViec!AA414</f>
        <v>1</v>
      </c>
      <c r="E448" s="523" t="str">
        <f>L_CViec!AC414</f>
        <v>1KS3</v>
      </c>
      <c r="F448" s="523" t="str">
        <f>L_CViec!AD414</f>
        <v>1-3</v>
      </c>
      <c r="G448" s="523">
        <f>L_CViec!AE414</f>
        <v>0.04</v>
      </c>
      <c r="H448" s="879">
        <f>L_CViec!AF414</f>
        <v>0.04</v>
      </c>
      <c r="I448" s="879">
        <f>L_CViec!AG414</f>
        <v>0.04</v>
      </c>
      <c r="J448" s="294">
        <f>L_CViec!AH414</f>
        <v>333450</v>
      </c>
      <c r="K448" s="294">
        <f t="shared" si="53"/>
        <v>13338</v>
      </c>
      <c r="L448" s="294">
        <f t="shared" si="54"/>
        <v>13338</v>
      </c>
      <c r="M448" s="294">
        <f t="shared" si="55"/>
        <v>13338</v>
      </c>
      <c r="N448" s="1091">
        <f>$D448*G448*L_CBac!$J$68</f>
        <v>1022.58</v>
      </c>
      <c r="O448" s="1091">
        <f>$D448*H448*L_CBac!$J$68</f>
        <v>1022.58</v>
      </c>
      <c r="P448" s="1091">
        <f>$D448*I448*L_CBac!$J$68</f>
        <v>1022.58</v>
      </c>
      <c r="Q448" s="294">
        <f>$D448*G448*L_CBac!$J$69</f>
        <v>1123.0769230769231</v>
      </c>
      <c r="R448" s="294">
        <f>$D448*H448*L_CBac!$J$69</f>
        <v>1123.0769230769231</v>
      </c>
      <c r="S448" s="294">
        <f>$D448*I448*L_CBac!$J$69</f>
        <v>1123.0769230769231</v>
      </c>
    </row>
    <row r="449" spans="1:19" s="111" customFormat="1" ht="25.5">
      <c r="A449" s="523">
        <f>L_CViec!A415</f>
        <v>20</v>
      </c>
      <c r="B449" s="525" t="str">
        <f>L_CViec!B415</f>
        <v>Nhận thông báo của cơ quan thuế về việc hoàn thành nghĩa vụ tài chính</v>
      </c>
      <c r="C449" s="523">
        <f>L_CViec!AB415</f>
        <v>0</v>
      </c>
      <c r="D449" s="523">
        <f>L_CViec!AA415</f>
        <v>0</v>
      </c>
      <c r="E449" s="523">
        <f>L_CViec!AC415</f>
        <v>0</v>
      </c>
      <c r="F449" s="523">
        <f>L_CViec!AD415</f>
        <v>0</v>
      </c>
      <c r="G449" s="523">
        <f>L_CViec!AE415</f>
        <v>0</v>
      </c>
      <c r="H449" s="879">
        <f>L_CViec!AF415</f>
        <v>0</v>
      </c>
      <c r="I449" s="879">
        <f>L_CViec!AG415</f>
        <v>0</v>
      </c>
      <c r="J449" s="294">
        <f>L_CViec!AH415</f>
        <v>0</v>
      </c>
      <c r="K449" s="294">
        <f t="shared" si="53"/>
        <v>0</v>
      </c>
      <c r="L449" s="294">
        <f t="shared" si="54"/>
        <v>0</v>
      </c>
      <c r="M449" s="294">
        <f t="shared" si="55"/>
        <v>0</v>
      </c>
      <c r="N449" s="1091">
        <f>$D449*G449*L_CBac!$J$68</f>
        <v>0</v>
      </c>
      <c r="O449" s="1091">
        <f>$D449*H449*L_CBac!$J$68</f>
        <v>0</v>
      </c>
      <c r="P449" s="1091">
        <f>$D449*I449*L_CBac!$J$68</f>
        <v>0</v>
      </c>
      <c r="Q449" s="294">
        <f>$D449*G449*L_CBac!$J$69</f>
        <v>0</v>
      </c>
      <c r="R449" s="294">
        <f>$D449*H449*L_CBac!$J$69</f>
        <v>0</v>
      </c>
      <c r="S449" s="294">
        <f>$D449*I449*L_CBac!$J$69</f>
        <v>0</v>
      </c>
    </row>
    <row r="450" spans="1:19" s="85" customFormat="1">
      <c r="A450" s="523">
        <f>L_CViec!A416</f>
        <v>20.100000000000001</v>
      </c>
      <c r="B450" s="525" t="str">
        <f>L_CViec!B416</f>
        <v>Chuyển thông tin theo hình thức liên thông</v>
      </c>
      <c r="C450" s="523" t="str">
        <f>L_CViec!AB416</f>
        <v>Hồ sơ</v>
      </c>
      <c r="D450" s="523">
        <f>L_CViec!AA416</f>
        <v>1</v>
      </c>
      <c r="E450" s="523" t="str">
        <f>L_CViec!AC416</f>
        <v>1KS2</v>
      </c>
      <c r="F450" s="523" t="str">
        <f>L_CViec!AD416</f>
        <v>1-3</v>
      </c>
      <c r="G450" s="523">
        <f>L_CViec!AE416</f>
        <v>0.04</v>
      </c>
      <c r="H450" s="879">
        <f>L_CViec!AF416</f>
        <v>0.04</v>
      </c>
      <c r="I450" s="879">
        <f>L_CViec!AG416</f>
        <v>0.04</v>
      </c>
      <c r="J450" s="294">
        <f>L_CViec!AH416</f>
        <v>296770.5</v>
      </c>
      <c r="K450" s="294">
        <f t="shared" si="53"/>
        <v>11870.82</v>
      </c>
      <c r="L450" s="294">
        <f t="shared" si="54"/>
        <v>11870.82</v>
      </c>
      <c r="M450" s="294">
        <f t="shared" si="55"/>
        <v>11870.82</v>
      </c>
      <c r="N450" s="1090">
        <f>$D450*G450*L_CBac!$J$68</f>
        <v>1022.58</v>
      </c>
      <c r="O450" s="1090">
        <f>$D450*H450*L_CBac!$J$68</f>
        <v>1022.58</v>
      </c>
      <c r="P450" s="1090">
        <f>$D450*I450*L_CBac!$J$68</f>
        <v>1022.58</v>
      </c>
      <c r="Q450" s="294">
        <f>$D450*G450*L_CBac!$J$69</f>
        <v>1123.0769230769231</v>
      </c>
      <c r="R450" s="294">
        <f>$D450*H450*L_CBac!$J$69</f>
        <v>1123.0769230769231</v>
      </c>
      <c r="S450" s="294">
        <f>$D450*I450*L_CBac!$J$69</f>
        <v>1123.0769230769231</v>
      </c>
    </row>
    <row r="451" spans="1:19" s="85" customFormat="1">
      <c r="A451" s="523">
        <f>L_CViec!A417</f>
        <v>20.2</v>
      </c>
      <c r="B451" s="525" t="str">
        <f>L_CViec!B417</f>
        <v>Chuyển thông tin theo hình thức trực tiếp</v>
      </c>
      <c r="C451" s="523" t="str">
        <f>L_CViec!AB417</f>
        <v>Hồ sơ</v>
      </c>
      <c r="D451" s="523">
        <f>L_CViec!AA417</f>
        <v>1</v>
      </c>
      <c r="E451" s="523" t="str">
        <f>L_CViec!AC417</f>
        <v>1KS2</v>
      </c>
      <c r="F451" s="523" t="str">
        <f>L_CViec!AD417</f>
        <v>1-3</v>
      </c>
      <c r="G451" s="523">
        <f>L_CViec!AE417</f>
        <v>0.03</v>
      </c>
      <c r="H451" s="879">
        <f>L_CViec!AF417</f>
        <v>0.03</v>
      </c>
      <c r="I451" s="879">
        <f>L_CViec!AG417</f>
        <v>0.03</v>
      </c>
      <c r="J451" s="294">
        <f>L_CViec!AH417</f>
        <v>296770.5</v>
      </c>
      <c r="K451" s="294">
        <f t="shared" si="53"/>
        <v>8903.1149999999998</v>
      </c>
      <c r="L451" s="294">
        <f t="shared" si="54"/>
        <v>8903.1149999999998</v>
      </c>
      <c r="M451" s="294">
        <f t="shared" si="55"/>
        <v>8903.1149999999998</v>
      </c>
      <c r="N451" s="1091">
        <f>$D451*G451*L_CBac!$J$68</f>
        <v>766.93499999999995</v>
      </c>
      <c r="O451" s="1091">
        <f>$D451*H451*L_CBac!$J$68</f>
        <v>766.93499999999995</v>
      </c>
      <c r="P451" s="1091">
        <f>$D451*I451*L_CBac!$J$68</f>
        <v>766.93499999999995</v>
      </c>
      <c r="Q451" s="294">
        <f>$D451*G451*L_CBac!$J$69</f>
        <v>842.30769230769226</v>
      </c>
      <c r="R451" s="294">
        <f>$D451*H451*L_CBac!$J$69</f>
        <v>842.30769230769226</v>
      </c>
      <c r="S451" s="294">
        <f>$D451*I451*L_CBac!$J$69</f>
        <v>842.30769230769226</v>
      </c>
    </row>
    <row r="452" spans="1:19" s="85" customFormat="1" ht="25.5">
      <c r="A452" s="523" t="str">
        <f>L_CViec!A418</f>
        <v>21</v>
      </c>
      <c r="B452" s="525" t="str">
        <f>L_CViec!B418</f>
        <v>Nhập thông tin về nghĩa vụ tài chính, đăng ký vào hồ sơ địa chính</v>
      </c>
      <c r="C452" s="523" t="str">
        <f>L_CViec!AB418</f>
        <v>Thửa</v>
      </c>
      <c r="D452" s="523">
        <f>L_CViec!AA418</f>
        <v>1</v>
      </c>
      <c r="E452" s="523" t="str">
        <f>L_CViec!AC418</f>
        <v>1KS3</v>
      </c>
      <c r="F452" s="523" t="str">
        <f>L_CViec!AD418</f>
        <v>1-3</v>
      </c>
      <c r="G452" s="523">
        <f>L_CViec!AE418</f>
        <v>0.03</v>
      </c>
      <c r="H452" s="879">
        <f>L_CViec!AF418</f>
        <v>0.17100000000000001</v>
      </c>
      <c r="I452" s="879">
        <f>L_CViec!AG418</f>
        <v>0.23499999999999999</v>
      </c>
      <c r="J452" s="294">
        <f>L_CViec!AH418</f>
        <v>333450</v>
      </c>
      <c r="K452" s="294">
        <f t="shared" si="53"/>
        <v>10003.5</v>
      </c>
      <c r="L452" s="294">
        <f t="shared" si="54"/>
        <v>57019.950000000004</v>
      </c>
      <c r="M452" s="294">
        <f t="shared" si="55"/>
        <v>78360.75</v>
      </c>
      <c r="N452" s="1091">
        <f>$D452*G452*L_CBac!$J$68</f>
        <v>766.93499999999995</v>
      </c>
      <c r="O452" s="1091">
        <f>$D452*H452*L_CBac!$J$68</f>
        <v>4371.5295000000006</v>
      </c>
      <c r="P452" s="1091">
        <f>$D452*I452*L_CBac!$J$68</f>
        <v>6007.6574999999993</v>
      </c>
      <c r="Q452" s="294">
        <f>$D452*G452*L_CBac!$J$69</f>
        <v>842.30769230769226</v>
      </c>
      <c r="R452" s="294">
        <f>$D452*H452*L_CBac!$J$69</f>
        <v>4801.1538461538466</v>
      </c>
      <c r="S452" s="294">
        <f>$D452*I452*L_CBac!$J$69</f>
        <v>6598.0769230769229</v>
      </c>
    </row>
    <row r="453" spans="1:19" s="85" customFormat="1">
      <c r="A453" s="523" t="str">
        <f>L_CViec!A419</f>
        <v>22</v>
      </c>
      <c r="B453" s="525" t="str">
        <f>L_CViec!B419</f>
        <v>In GCN</v>
      </c>
      <c r="C453" s="523">
        <f>L_CViec!AB419</f>
        <v>0</v>
      </c>
      <c r="D453" s="523">
        <f>L_CViec!AA419</f>
        <v>0</v>
      </c>
      <c r="E453" s="523">
        <f>L_CViec!AC419</f>
        <v>0</v>
      </c>
      <c r="F453" s="523">
        <f>L_CViec!AD419</f>
        <v>0</v>
      </c>
      <c r="G453" s="523">
        <f>L_CViec!AE419</f>
        <v>0</v>
      </c>
      <c r="H453" s="879">
        <f>L_CViec!AF419</f>
        <v>0</v>
      </c>
      <c r="I453" s="879">
        <f>L_CViec!AG419</f>
        <v>0</v>
      </c>
      <c r="J453" s="294">
        <f>L_CViec!AH419</f>
        <v>0</v>
      </c>
      <c r="K453" s="294">
        <f t="shared" si="53"/>
        <v>0</v>
      </c>
      <c r="L453" s="294">
        <f t="shared" si="54"/>
        <v>0</v>
      </c>
      <c r="M453" s="294">
        <f t="shared" si="55"/>
        <v>0</v>
      </c>
      <c r="N453" s="1090">
        <f>$D453*G453*L_CBac!$J$68</f>
        <v>0</v>
      </c>
      <c r="O453" s="1090">
        <f>$D453*H453*L_CBac!$J$68</f>
        <v>0</v>
      </c>
      <c r="P453" s="1090">
        <f>$D453*I453*L_CBac!$J$68</f>
        <v>0</v>
      </c>
      <c r="Q453" s="294">
        <f>Q454+Q457+Q466</f>
        <v>12634.615384615387</v>
      </c>
      <c r="R453" s="294">
        <f>R454+R457+R466</f>
        <v>14038.461538461541</v>
      </c>
      <c r="S453" s="294">
        <f>S454+S457+S466</f>
        <v>14880.769230769232</v>
      </c>
    </row>
    <row r="454" spans="1:19" s="111" customFormat="1">
      <c r="A454" s="523" t="str">
        <f>L_CViec!A420</f>
        <v>22.1</v>
      </c>
      <c r="B454" s="525" t="str">
        <f>L_CViec!B420</f>
        <v>Trực tiếp từ cơ sở dữ liệu dạng số</v>
      </c>
      <c r="C454" s="523" t="str">
        <f>L_CViec!AB420</f>
        <v>GCN</v>
      </c>
      <c r="D454" s="523">
        <f>L_CViec!AA420</f>
        <v>1</v>
      </c>
      <c r="E454" s="523" t="str">
        <f>L_CViec!AC420</f>
        <v>1KS2</v>
      </c>
      <c r="F454" s="523" t="str">
        <f>L_CViec!AD420</f>
        <v>1-3</v>
      </c>
      <c r="G454" s="523">
        <f>L_CViec!AE420</f>
        <v>0.1</v>
      </c>
      <c r="H454" s="879">
        <f>L_CViec!AF420</f>
        <v>0.1</v>
      </c>
      <c r="I454" s="879">
        <f>L_CViec!AG420</f>
        <v>0.1</v>
      </c>
      <c r="J454" s="294">
        <f>L_CViec!AH420</f>
        <v>296770.5</v>
      </c>
      <c r="K454" s="294">
        <f t="shared" si="53"/>
        <v>29677.050000000003</v>
      </c>
      <c r="L454" s="294">
        <f t="shared" si="54"/>
        <v>29677.050000000003</v>
      </c>
      <c r="M454" s="294">
        <f t="shared" si="55"/>
        <v>29677.050000000003</v>
      </c>
      <c r="N454" s="1091">
        <f>$D454*G454*L_CBac!$J$68</f>
        <v>2556.4500000000003</v>
      </c>
      <c r="O454" s="1091">
        <f>$D454*H454*L_CBac!$J$68</f>
        <v>2556.4500000000003</v>
      </c>
      <c r="P454" s="1091">
        <f>$D454*I454*L_CBac!$J$68</f>
        <v>2556.4500000000003</v>
      </c>
      <c r="Q454" s="294">
        <f>SUM(Q455:Q456)</f>
        <v>7019.2307692307695</v>
      </c>
      <c r="R454" s="294">
        <f>SUM(R455:R456)</f>
        <v>8423.0769230769238</v>
      </c>
      <c r="S454" s="294">
        <f>SUM(S455:S456)</f>
        <v>8423.0769230769238</v>
      </c>
    </row>
    <row r="455" spans="1:19" s="111" customFormat="1">
      <c r="A455" s="523" t="str">
        <f>L_CViec!A421</f>
        <v>22.2</v>
      </c>
      <c r="B455" s="525" t="str">
        <f>L_CViec!B421</f>
        <v>Đối với những nơi chưa có bản đồ dạng số</v>
      </c>
      <c r="C455" s="523" t="str">
        <f>L_CViec!AB421</f>
        <v>GCN</v>
      </c>
      <c r="D455" s="523">
        <f>L_CViec!AA421</f>
        <v>1</v>
      </c>
      <c r="E455" s="523" t="str">
        <f>L_CViec!AC421</f>
        <v>1KS2</v>
      </c>
      <c r="F455" s="523" t="str">
        <f>L_CViec!AD421</f>
        <v>1-3</v>
      </c>
      <c r="G455" s="523">
        <f>L_CViec!AE421</f>
        <v>0.15</v>
      </c>
      <c r="H455" s="879">
        <f>L_CViec!AF421</f>
        <v>0.2</v>
      </c>
      <c r="I455" s="879">
        <f>L_CViec!AG421</f>
        <v>0.2</v>
      </c>
      <c r="J455" s="294">
        <f>L_CViec!AH421</f>
        <v>296770.5</v>
      </c>
      <c r="K455" s="294">
        <f t="shared" si="53"/>
        <v>44515.574999999997</v>
      </c>
      <c r="L455" s="294">
        <f t="shared" si="54"/>
        <v>59354.100000000006</v>
      </c>
      <c r="M455" s="294">
        <f t="shared" si="55"/>
        <v>59354.100000000006</v>
      </c>
      <c r="N455" s="1091">
        <f>$D455*G455*L_CBac!$J$68</f>
        <v>3834.6749999999997</v>
      </c>
      <c r="O455" s="1091">
        <f>$D455*H455*L_CBac!$J$68</f>
        <v>5112.9000000000005</v>
      </c>
      <c r="P455" s="1091">
        <f>$D455*I455*L_CBac!$J$68</f>
        <v>5112.9000000000005</v>
      </c>
      <c r="Q455" s="294">
        <f>$D455*G455*L_CBac!$J$69</f>
        <v>4211.5384615384619</v>
      </c>
      <c r="R455" s="294">
        <f>$D455*H455*L_CBac!$J$69</f>
        <v>5615.3846153846162</v>
      </c>
      <c r="S455" s="294">
        <f>$D455*I455*L_CBac!$J$69</f>
        <v>5615.3846153846162</v>
      </c>
    </row>
    <row r="456" spans="1:19" s="111" customFormat="1">
      <c r="A456" s="523" t="str">
        <f>L_CViec!A422</f>
        <v>23</v>
      </c>
      <c r="B456" s="525" t="str">
        <f>L_CViec!B422</f>
        <v>Xác nhận nội dung biến động trên GCN hoặc cấp GCN mới</v>
      </c>
      <c r="C456" s="523" t="str">
        <f>L_CViec!AB422</f>
        <v>GCN</v>
      </c>
      <c r="D456" s="523">
        <f>L_CViec!AA422</f>
        <v>1</v>
      </c>
      <c r="E456" s="523" t="str">
        <f>L_CViec!AC422</f>
        <v>1KS2</v>
      </c>
      <c r="F456" s="523" t="str">
        <f>L_CViec!AD422</f>
        <v>1-3</v>
      </c>
      <c r="G456" s="523">
        <f>L_CViec!AE422</f>
        <v>0.1</v>
      </c>
      <c r="H456" s="879">
        <f>L_CViec!AF422</f>
        <v>0.1</v>
      </c>
      <c r="I456" s="879">
        <f>L_CViec!AG422</f>
        <v>0.1</v>
      </c>
      <c r="J456" s="294">
        <f>L_CViec!AH422</f>
        <v>296770.5</v>
      </c>
      <c r="K456" s="294">
        <f t="shared" si="53"/>
        <v>29677.050000000003</v>
      </c>
      <c r="L456" s="294">
        <f t="shared" si="54"/>
        <v>29677.050000000003</v>
      </c>
      <c r="M456" s="294">
        <f t="shared" si="55"/>
        <v>29677.050000000003</v>
      </c>
      <c r="N456" s="1090">
        <f>$D456*G456*L_CBac!$J$68</f>
        <v>2556.4500000000003</v>
      </c>
      <c r="O456" s="1090">
        <f>$D456*H456*L_CBac!$J$68</f>
        <v>2556.4500000000003</v>
      </c>
      <c r="P456" s="1090">
        <f>$D456*I456*L_CBac!$J$68</f>
        <v>2556.4500000000003</v>
      </c>
      <c r="Q456" s="294">
        <f>$D456*G456*L_CBac!$J$69</f>
        <v>2807.6923076923081</v>
      </c>
      <c r="R456" s="294">
        <f>$D456*H456*L_CBac!$J$69</f>
        <v>2807.6923076923081</v>
      </c>
      <c r="S456" s="294">
        <f>$D456*I456*L_CBac!$J$69</f>
        <v>2807.6923076923081</v>
      </c>
    </row>
    <row r="457" spans="1:19" s="111" customFormat="1" ht="25.5">
      <c r="A457" s="523" t="str">
        <f>L_CViec!A423</f>
        <v>24</v>
      </c>
      <c r="B457" s="525" t="str">
        <f>L_CViec!B423</f>
        <v>Thu hồi Giấy chứng nhận đã cấp của bên thuê, bên thuê lại đất đối với trường hợp xóa cho thuê, cho thuê lại đất</v>
      </c>
      <c r="C457" s="523" t="str">
        <f>L_CViec!AB423</f>
        <v>GCN</v>
      </c>
      <c r="D457" s="523">
        <f>L_CViec!AA423</f>
        <v>1</v>
      </c>
      <c r="E457" s="523" t="str">
        <f>L_CViec!AC423</f>
        <v>1KS2</v>
      </c>
      <c r="F457" s="523" t="str">
        <f>L_CViec!AD423</f>
        <v>1-3</v>
      </c>
      <c r="G457" s="523">
        <f>L_CViec!AE423</f>
        <v>0.1</v>
      </c>
      <c r="H457" s="879">
        <f>L_CViec!AF423</f>
        <v>0.1</v>
      </c>
      <c r="I457" s="879">
        <f>L_CViec!AG423</f>
        <v>0.1</v>
      </c>
      <c r="J457" s="294">
        <f>L_CViec!AH423</f>
        <v>296770.5</v>
      </c>
      <c r="K457" s="294">
        <f t="shared" si="53"/>
        <v>29677.050000000003</v>
      </c>
      <c r="L457" s="294">
        <f t="shared" si="54"/>
        <v>29677.050000000003</v>
      </c>
      <c r="M457" s="294">
        <f t="shared" si="55"/>
        <v>29677.050000000003</v>
      </c>
      <c r="N457" s="1091">
        <f>$D457*G457*L_CBac!$J$68</f>
        <v>2556.4500000000003</v>
      </c>
      <c r="O457" s="1091">
        <f>$D457*H457*L_CBac!$J$68</f>
        <v>2556.4500000000003</v>
      </c>
      <c r="P457" s="1091">
        <f>$D457*I457*L_CBac!$J$68</f>
        <v>2556.4500000000003</v>
      </c>
      <c r="Q457" s="294">
        <f>$D457*G457*L_CBac!$J$69</f>
        <v>2807.6923076923081</v>
      </c>
      <c r="R457" s="294">
        <f>$D457*H457*L_CBac!$J$69</f>
        <v>2807.6923076923081</v>
      </c>
      <c r="S457" s="294">
        <f>$D457*I457*L_CBac!$J$69</f>
        <v>2807.6923076923081</v>
      </c>
    </row>
    <row r="458" spans="1:19" s="111" customFormat="1" ht="25.5">
      <c r="A458" s="523" t="str">
        <f>L_CViec!A424</f>
        <v>25</v>
      </c>
      <c r="B458" s="525" t="str">
        <f>L_CViec!B424</f>
        <v>Nhập thông tin vào Sổ cấp giấy; gửi thông báo biến động cho cấp tỉnh, xã</v>
      </c>
      <c r="C458" s="523" t="str">
        <f>L_CViec!AB424</f>
        <v>Hồ sơ</v>
      </c>
      <c r="D458" s="523">
        <f>L_CViec!AA424</f>
        <v>1</v>
      </c>
      <c r="E458" s="523" t="str">
        <f>L_CViec!AC424</f>
        <v>1KS2</v>
      </c>
      <c r="F458" s="523" t="str">
        <f>L_CViec!AD424</f>
        <v>1-3</v>
      </c>
      <c r="G458" s="523">
        <f>L_CViec!AE424</f>
        <v>0.37</v>
      </c>
      <c r="H458" s="879">
        <f>L_CViec!AF424</f>
        <v>0.37</v>
      </c>
      <c r="I458" s="879">
        <f>L_CViec!AG424</f>
        <v>0.44400000000000001</v>
      </c>
      <c r="J458" s="294">
        <f>L_CViec!AH424</f>
        <v>296770.5</v>
      </c>
      <c r="K458" s="294">
        <f t="shared" si="53"/>
        <v>109805.08499999999</v>
      </c>
      <c r="L458" s="294">
        <f t="shared" si="54"/>
        <v>109805.08499999999</v>
      </c>
      <c r="M458" s="294">
        <f t="shared" si="55"/>
        <v>131766.10200000001</v>
      </c>
      <c r="N458" s="1091">
        <f>$D458*G458*L_CBac!$J$68</f>
        <v>9458.8649999999998</v>
      </c>
      <c r="O458" s="1091">
        <f>$D458*H458*L_CBac!$J$68</f>
        <v>9458.8649999999998</v>
      </c>
      <c r="P458" s="1091">
        <f>$D458*I458*L_CBac!$J$68</f>
        <v>11350.638000000001</v>
      </c>
      <c r="Q458" s="294"/>
      <c r="R458" s="294"/>
      <c r="S458" s="294"/>
    </row>
    <row r="459" spans="1:19" s="111" customFormat="1">
      <c r="A459" s="523" t="str">
        <f>L_CViec!A425</f>
        <v>26</v>
      </c>
      <c r="B459" s="525" t="str">
        <f>L_CViec!B425</f>
        <v>Nhập bổ sung thông tin dữ liệu về GCN</v>
      </c>
      <c r="C459" s="523" t="str">
        <f>L_CViec!AB425</f>
        <v>Thửa</v>
      </c>
      <c r="D459" s="523">
        <f>L_CViec!AA425</f>
        <v>1</v>
      </c>
      <c r="E459" s="523" t="str">
        <f>L_CViec!AC425</f>
        <v>1KS3</v>
      </c>
      <c r="F459" s="523" t="str">
        <f>L_CViec!AD425</f>
        <v>1-3</v>
      </c>
      <c r="G459" s="523">
        <f>L_CViec!AE425</f>
        <v>3.3000000000000002E-2</v>
      </c>
      <c r="H459" s="879">
        <f>L_CViec!AF425</f>
        <v>3.3000000000000002E-2</v>
      </c>
      <c r="I459" s="879">
        <f>L_CViec!AG425</f>
        <v>3.3000000000000002E-2</v>
      </c>
      <c r="J459" s="294">
        <f>L_CViec!AH425</f>
        <v>333450</v>
      </c>
      <c r="K459" s="294">
        <f t="shared" si="53"/>
        <v>11003.85</v>
      </c>
      <c r="L459" s="294">
        <f t="shared" si="54"/>
        <v>11003.85</v>
      </c>
      <c r="M459" s="294">
        <f t="shared" si="55"/>
        <v>11003.85</v>
      </c>
      <c r="N459" s="1090">
        <f>$D459*G459*L_CBac!$J$68</f>
        <v>843.62850000000003</v>
      </c>
      <c r="O459" s="1090">
        <f>$D459*H459*L_CBac!$J$68</f>
        <v>843.62850000000003</v>
      </c>
      <c r="P459" s="1090">
        <f>$D459*I459*L_CBac!$J$68</f>
        <v>843.62850000000003</v>
      </c>
      <c r="Q459" s="294"/>
      <c r="R459" s="294"/>
      <c r="S459" s="294"/>
    </row>
    <row r="460" spans="1:19" s="111" customFormat="1" ht="25.5">
      <c r="A460" s="523" t="str">
        <f>L_CViec!A426</f>
        <v>27</v>
      </c>
      <c r="B460" s="525" t="str">
        <f>L_CViec!B426</f>
        <v>Quét giấy tờ pháp lý về quyền sử dụng đất, quyền sở hữu nhà ở và tài sản khác gắn liền với đất</v>
      </c>
      <c r="C460" s="523">
        <f>L_CViec!AB426</f>
        <v>0</v>
      </c>
      <c r="D460" s="523">
        <f>L_CViec!AA426</f>
        <v>0</v>
      </c>
      <c r="E460" s="523">
        <f>L_CViec!AC426</f>
        <v>0</v>
      </c>
      <c r="F460" s="523">
        <f>L_CViec!AD426</f>
        <v>0</v>
      </c>
      <c r="G460" s="523">
        <f>L_CViec!AE426</f>
        <v>0</v>
      </c>
      <c r="H460" s="879">
        <f>L_CViec!AF426</f>
        <v>0</v>
      </c>
      <c r="I460" s="879">
        <f>L_CViec!AG426</f>
        <v>0</v>
      </c>
      <c r="J460" s="294">
        <f>L_CViec!AH426</f>
        <v>0</v>
      </c>
      <c r="K460" s="294">
        <f t="shared" si="53"/>
        <v>0</v>
      </c>
      <c r="L460" s="294">
        <f t="shared" si="54"/>
        <v>0</v>
      </c>
      <c r="M460" s="294">
        <f t="shared" si="55"/>
        <v>0</v>
      </c>
      <c r="N460" s="1091">
        <f>$D460*G460*L_CBac!$J$68</f>
        <v>0</v>
      </c>
      <c r="O460" s="1091">
        <f>$D460*H460*L_CBac!$J$68</f>
        <v>0</v>
      </c>
      <c r="P460" s="1091">
        <f>$D460*I460*L_CBac!$J$68</f>
        <v>0</v>
      </c>
      <c r="Q460" s="294"/>
      <c r="R460" s="294"/>
      <c r="S460" s="294"/>
    </row>
    <row r="461" spans="1:19" s="111" customFormat="1">
      <c r="A461" s="523" t="str">
        <f>L_CViec!A427</f>
        <v>27.1</v>
      </c>
      <c r="B461" s="525" t="str">
        <f>L_CViec!B427</f>
        <v>Quét trang A3</v>
      </c>
      <c r="C461" s="523" t="str">
        <f>L_CViec!AB427</f>
        <v>Trang</v>
      </c>
      <c r="D461" s="523">
        <f>L_CViec!AA427</f>
        <v>1</v>
      </c>
      <c r="E461" s="523" t="str">
        <f>L_CViec!AC427</f>
        <v>1KS1</v>
      </c>
      <c r="F461" s="523" t="str">
        <f>L_CViec!AD427</f>
        <v>1-3</v>
      </c>
      <c r="G461" s="523">
        <f>L_CViec!AE427</f>
        <v>1.6E-2</v>
      </c>
      <c r="H461" s="879">
        <f>L_CViec!AF427</f>
        <v>1.6E-2</v>
      </c>
      <c r="I461" s="879">
        <f>L_CViec!AG427</f>
        <v>0.02</v>
      </c>
      <c r="J461" s="294">
        <f>L_CViec!AH427</f>
        <v>260091</v>
      </c>
      <c r="K461" s="294">
        <f t="shared" si="53"/>
        <v>4161.4560000000001</v>
      </c>
      <c r="L461" s="294">
        <f t="shared" si="54"/>
        <v>4161.4560000000001</v>
      </c>
      <c r="M461" s="294">
        <f t="shared" si="55"/>
        <v>5201.82</v>
      </c>
      <c r="N461" s="1091">
        <f>$D461*G461*L_CBac!$J$68</f>
        <v>409.03199999999998</v>
      </c>
      <c r="O461" s="1091">
        <f>$D461*H461*L_CBac!$J$68</f>
        <v>409.03199999999998</v>
      </c>
      <c r="P461" s="1091">
        <f>$D461*I461*L_CBac!$J$68</f>
        <v>511.29</v>
      </c>
      <c r="Q461" s="294"/>
      <c r="R461" s="294"/>
      <c r="S461" s="294"/>
    </row>
    <row r="462" spans="1:19" s="111" customFormat="1">
      <c r="A462" s="523" t="str">
        <f>L_CViec!A428</f>
        <v>27.2</v>
      </c>
      <c r="B462" s="525" t="str">
        <f>L_CViec!B428</f>
        <v>Quét trang A4</v>
      </c>
      <c r="C462" s="523" t="str">
        <f>L_CViec!AB428</f>
        <v>Trang</v>
      </c>
      <c r="D462" s="523">
        <f>L_CViec!AA428</f>
        <v>1</v>
      </c>
      <c r="E462" s="523" t="str">
        <f>L_CViec!AC428</f>
        <v>1KS1</v>
      </c>
      <c r="F462" s="523" t="str">
        <f>L_CViec!AD428</f>
        <v>1-3</v>
      </c>
      <c r="G462" s="523">
        <f>L_CViec!AE428</f>
        <v>8.0000000000000002E-3</v>
      </c>
      <c r="H462" s="879">
        <f>L_CViec!AF428</f>
        <v>8.0000000000000002E-3</v>
      </c>
      <c r="I462" s="879">
        <f>L_CViec!AG428</f>
        <v>0.01</v>
      </c>
      <c r="J462" s="294">
        <f>L_CViec!AH428</f>
        <v>260091</v>
      </c>
      <c r="K462" s="294">
        <f t="shared" si="53"/>
        <v>2080.7280000000001</v>
      </c>
      <c r="L462" s="294">
        <f t="shared" si="54"/>
        <v>2080.7280000000001</v>
      </c>
      <c r="M462" s="294">
        <f t="shared" si="55"/>
        <v>2600.91</v>
      </c>
      <c r="N462" s="1090">
        <f>$D462*G462*L_CBac!$J$68</f>
        <v>204.51599999999999</v>
      </c>
      <c r="O462" s="1090">
        <f>$D462*H462*L_CBac!$J$68</f>
        <v>204.51599999999999</v>
      </c>
      <c r="P462" s="1090">
        <f>$D462*I462*L_CBac!$J$68</f>
        <v>255.64500000000001</v>
      </c>
      <c r="Q462" s="294"/>
      <c r="R462" s="294"/>
      <c r="S462" s="294"/>
    </row>
    <row r="463" spans="1:19" s="111" customFormat="1" ht="25.5">
      <c r="A463" s="523" t="str">
        <f>L_CViec!A429</f>
        <v>28</v>
      </c>
      <c r="B463" s="525" t="str">
        <f>L_CViec!B429</f>
        <v>Xử lý các tệp tin quét thành tệp (File) hồ sơ quét dạng số của thửa đất, lưu trữ dưới khuôn dạng tệp tin PDF</v>
      </c>
      <c r="C463" s="523" t="str">
        <f>L_CViec!AB429</f>
        <v>Trang</v>
      </c>
      <c r="D463" s="523">
        <f>L_CViec!AA429</f>
        <v>1</v>
      </c>
      <c r="E463" s="523" t="str">
        <f>L_CViec!AC429</f>
        <v>1KS1</v>
      </c>
      <c r="F463" s="523" t="str">
        <f>L_CViec!AD429</f>
        <v>1-3</v>
      </c>
      <c r="G463" s="523">
        <f>L_CViec!AE429</f>
        <v>4.0000000000000001E-3</v>
      </c>
      <c r="H463" s="879">
        <f>L_CViec!AF429</f>
        <v>4.0000000000000001E-3</v>
      </c>
      <c r="I463" s="879">
        <f>L_CViec!AG429</f>
        <v>5.0000000000000001E-3</v>
      </c>
      <c r="J463" s="294">
        <f>L_CViec!AH429</f>
        <v>260091</v>
      </c>
      <c r="K463" s="294">
        <f t="shared" si="53"/>
        <v>1040.364</v>
      </c>
      <c r="L463" s="294">
        <f t="shared" si="54"/>
        <v>1040.364</v>
      </c>
      <c r="M463" s="294">
        <f t="shared" si="55"/>
        <v>1300.4549999999999</v>
      </c>
      <c r="N463" s="1091">
        <f>$D463*G463*L_CBac!$J$68</f>
        <v>102.258</v>
      </c>
      <c r="O463" s="1091">
        <f>$D463*H463*L_CBac!$J$68</f>
        <v>102.258</v>
      </c>
      <c r="P463" s="1091">
        <f>$D463*I463*L_CBac!$J$68</f>
        <v>127.82250000000001</v>
      </c>
      <c r="Q463" s="294"/>
      <c r="R463" s="294"/>
      <c r="S463" s="294"/>
    </row>
    <row r="464" spans="1:19" s="111" customFormat="1" ht="25.5">
      <c r="A464" s="523" t="str">
        <f>L_CViec!A430</f>
        <v>29</v>
      </c>
      <c r="B464" s="525" t="str">
        <f>L_CViec!B430</f>
        <v>Tạo liên kết hồ sơ quét dạng số với thửa đất trong cơ sở dữ liệu</v>
      </c>
      <c r="C464" s="523" t="str">
        <f>L_CViec!AB430</f>
        <v>Thửa</v>
      </c>
      <c r="D464" s="523">
        <f>L_CViec!AA430</f>
        <v>1</v>
      </c>
      <c r="E464" s="523" t="str">
        <f>L_CViec!AC430</f>
        <v>1KS1</v>
      </c>
      <c r="F464" s="523" t="str">
        <f>L_CViec!AD430</f>
        <v>1-3</v>
      </c>
      <c r="G464" s="523">
        <f>L_CViec!AE430</f>
        <v>0.01</v>
      </c>
      <c r="H464" s="879">
        <f>L_CViec!AF430</f>
        <v>0.01</v>
      </c>
      <c r="I464" s="879">
        <f>L_CViec!AG430</f>
        <v>0.01</v>
      </c>
      <c r="J464" s="294">
        <f>L_CViec!AH430</f>
        <v>260091</v>
      </c>
      <c r="K464" s="294">
        <f t="shared" ref="K464:M466" si="56">G464*$J464</f>
        <v>2600.91</v>
      </c>
      <c r="L464" s="294">
        <f t="shared" si="56"/>
        <v>2600.91</v>
      </c>
      <c r="M464" s="294">
        <f t="shared" si="56"/>
        <v>2600.91</v>
      </c>
      <c r="N464" s="1091">
        <f>$D464*G464*L_CBac!$J$68</f>
        <v>255.64500000000001</v>
      </c>
      <c r="O464" s="1091">
        <f>$D464*H464*L_CBac!$J$68</f>
        <v>255.64500000000001</v>
      </c>
      <c r="P464" s="1091">
        <f>$D464*I464*L_CBac!$J$68</f>
        <v>255.64500000000001</v>
      </c>
      <c r="Q464" s="294"/>
      <c r="R464" s="294"/>
      <c r="S464" s="294"/>
    </row>
    <row r="465" spans="1:19" s="111" customFormat="1" ht="63.75">
      <c r="A465" s="523" t="str">
        <f>L_CViec!A431</f>
        <v>30</v>
      </c>
      <c r="B465" s="525" t="str">
        <f>L_CViec!B431</f>
        <v>Chuyển Giấy chứng nhận đến Bộ phận một cửa để trao cho người sử dụng đất hoặc chuyển Giấy chứng nhận cho người sử dụng đất thông qua dịch vụ bưu chính công ích hoặc Văn phòng đăng ký đất đai nhận lại GCN cũ đang thế chấp từ tổ chức tín dụng và trao GCN mới</v>
      </c>
      <c r="C465" s="523" t="str">
        <f>L_CViec!AB431</f>
        <v>Hồ sơ</v>
      </c>
      <c r="D465" s="523">
        <f>L_CViec!AA431</f>
        <v>1</v>
      </c>
      <c r="E465" s="523" t="str">
        <f>L_CViec!AC431</f>
        <v>1KS2</v>
      </c>
      <c r="F465" s="523" t="str">
        <f>L_CViec!AD431</f>
        <v>1-3</v>
      </c>
      <c r="G465" s="523">
        <f>L_CViec!AE431</f>
        <v>0.05</v>
      </c>
      <c r="H465" s="879">
        <f>L_CViec!AF431</f>
        <v>0.05</v>
      </c>
      <c r="I465" s="879">
        <f>L_CViec!AG431</f>
        <v>6.5000000000000002E-2</v>
      </c>
      <c r="J465" s="294">
        <f>L_CViec!AH431</f>
        <v>296770.5</v>
      </c>
      <c r="K465" s="294">
        <f t="shared" si="56"/>
        <v>14838.525000000001</v>
      </c>
      <c r="L465" s="294">
        <f t="shared" si="56"/>
        <v>14838.525000000001</v>
      </c>
      <c r="M465" s="294">
        <f t="shared" si="56"/>
        <v>19290.0825</v>
      </c>
      <c r="N465" s="1090">
        <f>$D465*G465*L_CBac!$J$68</f>
        <v>1278.2250000000001</v>
      </c>
      <c r="O465" s="1090">
        <f>$D465*H465*L_CBac!$J$68</f>
        <v>1278.2250000000001</v>
      </c>
      <c r="P465" s="1090">
        <f>$D465*I465*L_CBac!$J$68</f>
        <v>1661.6925000000001</v>
      </c>
      <c r="Q465" s="294"/>
      <c r="R465" s="294"/>
      <c r="S465" s="294"/>
    </row>
    <row r="466" spans="1:19" s="111" customFormat="1" ht="24" customHeight="1">
      <c r="A466" s="523" t="str">
        <f>L_CViec!A432</f>
        <v>31</v>
      </c>
      <c r="B466" s="525" t="str">
        <f>L_CViec!B432</f>
        <v>UBND xã, phường nhận thông báo biến động, chỉnh lý vào HSĐC</v>
      </c>
      <c r="C466" s="523" t="str">
        <f>L_CViec!AB432</f>
        <v>Hồ sơ</v>
      </c>
      <c r="D466" s="523">
        <f>L_CViec!AA432</f>
        <v>1</v>
      </c>
      <c r="E466" s="523" t="str">
        <f>L_CViec!AC432</f>
        <v>1KS2</v>
      </c>
      <c r="F466" s="523" t="str">
        <f>L_CViec!AD432</f>
        <v>1-3</v>
      </c>
      <c r="G466" s="523">
        <f>L_CViec!AE432</f>
        <v>0.1</v>
      </c>
      <c r="H466" s="879">
        <f>L_CViec!AF432</f>
        <v>0.1</v>
      </c>
      <c r="I466" s="879">
        <f>L_CViec!AG432</f>
        <v>0.13</v>
      </c>
      <c r="J466" s="294">
        <f>L_CViec!AH432</f>
        <v>296770.5</v>
      </c>
      <c r="K466" s="294">
        <f t="shared" si="56"/>
        <v>29677.050000000003</v>
      </c>
      <c r="L466" s="294">
        <f t="shared" si="56"/>
        <v>29677.050000000003</v>
      </c>
      <c r="M466" s="294">
        <f t="shared" si="56"/>
        <v>38580.165000000001</v>
      </c>
      <c r="N466" s="1091">
        <f>$D466*G466*L_CBac!$J$68</f>
        <v>2556.4500000000003</v>
      </c>
      <c r="O466" s="1091">
        <f>$D466*H466*L_CBac!$J$68</f>
        <v>2556.4500000000003</v>
      </c>
      <c r="P466" s="1091">
        <f>$D466*I466*L_CBac!$J$68</f>
        <v>3323.3850000000002</v>
      </c>
      <c r="Q466" s="294">
        <f>$D466*G466*L_CBac!$J$69</f>
        <v>2807.6923076923081</v>
      </c>
      <c r="R466" s="294">
        <f>$D466*H466*L_CBac!$J$69</f>
        <v>2807.6923076923081</v>
      </c>
      <c r="S466" s="294">
        <f>$D466*I466*L_CBac!$J$69</f>
        <v>3650.0000000000005</v>
      </c>
    </row>
    <row r="467" spans="1:19" s="85" customFormat="1" ht="26.25" hidden="1" customHeight="1">
      <c r="A467" s="827">
        <f>L_CViec!A433</f>
        <v>0</v>
      </c>
      <c r="B467" s="165">
        <f>L_CViec!B433</f>
        <v>0</v>
      </c>
      <c r="C467" s="165">
        <f>L_CViec!AB433</f>
        <v>0</v>
      </c>
      <c r="D467" s="165">
        <f>L_CViec!AA433</f>
        <v>0</v>
      </c>
      <c r="E467" s="165">
        <f>L_CViec!AC433</f>
        <v>0</v>
      </c>
      <c r="F467" s="165">
        <f>L_CViec!AD433</f>
        <v>0</v>
      </c>
      <c r="G467" s="165">
        <f>L_CViec!AE433</f>
        <v>0</v>
      </c>
      <c r="H467" s="880">
        <f>L_CViec!AF433</f>
        <v>0</v>
      </c>
      <c r="I467" s="880">
        <f>L_CViec!AG433</f>
        <v>0</v>
      </c>
      <c r="J467" s="166">
        <f>L_CViec!AH433</f>
        <v>0</v>
      </c>
      <c r="K467" s="166">
        <f>K468</f>
        <v>0</v>
      </c>
      <c r="L467" s="166">
        <f t="shared" ref="L467:S467" si="57">L468</f>
        <v>0</v>
      </c>
      <c r="M467" s="166">
        <f t="shared" si="57"/>
        <v>0</v>
      </c>
      <c r="N467" s="1091">
        <f t="shared" si="57"/>
        <v>0</v>
      </c>
      <c r="O467" s="1091">
        <f t="shared" si="57"/>
        <v>0</v>
      </c>
      <c r="P467" s="1091">
        <f t="shared" si="57"/>
        <v>0</v>
      </c>
      <c r="Q467" s="166">
        <f t="shared" si="57"/>
        <v>0</v>
      </c>
      <c r="R467" s="166">
        <f t="shared" si="57"/>
        <v>0</v>
      </c>
      <c r="S467" s="167">
        <f t="shared" si="57"/>
        <v>0</v>
      </c>
    </row>
    <row r="468" spans="1:19" s="85" customFormat="1" ht="30" hidden="1" customHeight="1">
      <c r="A468" s="1016">
        <f>L_CViec!A434</f>
        <v>0</v>
      </c>
      <c r="B468" s="1079">
        <f>L_CViec!B434</f>
        <v>0</v>
      </c>
      <c r="C468" s="1016">
        <f>L_CViec!AB434</f>
        <v>0</v>
      </c>
      <c r="D468" s="1016">
        <f>L_CViec!AA434</f>
        <v>0</v>
      </c>
      <c r="E468" s="1016">
        <f>L_CViec!AC434</f>
        <v>0</v>
      </c>
      <c r="F468" s="1016">
        <f>L_CViec!AD434</f>
        <v>0</v>
      </c>
      <c r="G468" s="1016">
        <f>L_CViec!AE434</f>
        <v>0</v>
      </c>
      <c r="H468" s="1080">
        <f>L_CViec!AF434</f>
        <v>0</v>
      </c>
      <c r="I468" s="1080">
        <f>L_CViec!AG434</f>
        <v>0</v>
      </c>
      <c r="J468" s="1003">
        <f>L_CViec!AH434</f>
        <v>0</v>
      </c>
      <c r="K468" s="1003">
        <f>G468*$J468</f>
        <v>0</v>
      </c>
      <c r="L468" s="1003">
        <f>H468*$J468</f>
        <v>0</v>
      </c>
      <c r="M468" s="1003">
        <f>I468*$J468</f>
        <v>0</v>
      </c>
      <c r="N468" s="1090">
        <f>$D468*G468*L_CBac!$J$68</f>
        <v>0</v>
      </c>
      <c r="O468" s="1090">
        <f>$D468*H468*L_CBac!$J$68</f>
        <v>0</v>
      </c>
      <c r="P468" s="1090">
        <f>$D468*I468*L_CBac!$J$68</f>
        <v>0</v>
      </c>
      <c r="Q468" s="294">
        <f>$D468*G468*L_CBac!$J$69</f>
        <v>0</v>
      </c>
      <c r="R468" s="294">
        <f>$D468*H468*L_CBac!$J$69</f>
        <v>0</v>
      </c>
      <c r="S468" s="294">
        <f>$D468*I468*L_CBac!$J$69</f>
        <v>0</v>
      </c>
    </row>
    <row r="469" spans="1:19" s="85" customFormat="1">
      <c r="A469" s="83" t="str">
        <f>L_CViec!A435</f>
        <v>VII.2</v>
      </c>
      <c r="B469" s="89" t="str">
        <f>L_CViec!B435</f>
        <v>GHI CHÚ</v>
      </c>
      <c r="C469" s="89">
        <f>L_CViec!AB435</f>
        <v>0</v>
      </c>
      <c r="D469" s="89"/>
      <c r="E469" s="89">
        <f>L_CViec!AC435</f>
        <v>0</v>
      </c>
      <c r="F469" s="89">
        <f>L_CViec!AD435</f>
        <v>0</v>
      </c>
      <c r="G469" s="89">
        <f>L_CViec!AE435</f>
        <v>0</v>
      </c>
      <c r="H469" s="1086">
        <f>L_CViec!AF435</f>
        <v>0</v>
      </c>
      <c r="I469" s="1086">
        <f>L_CViec!AG435</f>
        <v>0</v>
      </c>
      <c r="J469" s="1086">
        <f>L_CViec!AH435</f>
        <v>0</v>
      </c>
      <c r="K469" s="1086"/>
      <c r="L469" s="1086"/>
      <c r="M469" s="1086"/>
      <c r="N469" s="1091"/>
      <c r="O469" s="1091"/>
      <c r="P469" s="1091"/>
      <c r="Q469" s="166"/>
      <c r="R469" s="166"/>
      <c r="S469" s="167"/>
    </row>
    <row r="470" spans="1:19" s="85" customFormat="1" ht="26.45" customHeight="1">
      <c r="A470" s="84" t="str">
        <f>L_CViec!A436</f>
        <v>1</v>
      </c>
      <c r="B470" s="1457" t="str">
        <f>L_CViec!B436</f>
        <v>Cột “ĐM Đất” áp dụng cho trường hợp đăng ký, cấp GCN đối với đất; cột “ĐM TS” áp dụng cho trường hợp đăng ký, cấp GCN đối với tài sản; cột “ĐM Đất + TS” áp dụng đối với trường hợp đăng ký, cấp GCN đối với cả đất và tài sản gắn liền với đất</v>
      </c>
      <c r="C470" s="1457"/>
      <c r="D470" s="1457"/>
      <c r="E470" s="1457"/>
      <c r="F470" s="1457"/>
      <c r="G470" s="1457"/>
      <c r="H470" s="1457"/>
      <c r="I470" s="1457"/>
      <c r="J470" s="1457"/>
      <c r="K470" s="1457"/>
      <c r="L470" s="1457"/>
      <c r="M470" s="1457"/>
      <c r="N470" s="1091"/>
      <c r="O470" s="1091"/>
      <c r="P470" s="1091"/>
      <c r="Q470" s="294"/>
      <c r="R470" s="294"/>
      <c r="S470" s="294"/>
    </row>
    <row r="471" spans="1:19" s="85" customFormat="1" ht="26.45" customHeight="1">
      <c r="A471" s="84" t="str">
        <f>L_CViec!A437</f>
        <v>2</v>
      </c>
      <c r="B471" s="1457" t="str">
        <f>L_CViec!B437</f>
        <v>Trường hợp đăng ký biến động đất đai mà thực hiện cấp mới GCN thì áp dụng định mức của Bảng này. Trường hợp đăng ký biến động đất đai mà không thực hiện cấp mới GCN thì áp dụng theo quy định tại Bảng 15 sau đây</v>
      </c>
      <c r="C471" s="1457"/>
      <c r="D471" s="1457"/>
      <c r="E471" s="1457"/>
      <c r="F471" s="1457"/>
      <c r="G471" s="1457"/>
      <c r="H471" s="1457"/>
      <c r="I471" s="1457"/>
      <c r="J471" s="1457"/>
      <c r="K471" s="1457"/>
      <c r="L471" s="1457"/>
      <c r="M471" s="1457"/>
      <c r="N471" s="1090"/>
      <c r="O471" s="1090"/>
      <c r="P471" s="1090"/>
      <c r="Q471" s="294"/>
      <c r="R471" s="294"/>
      <c r="S471" s="294"/>
    </row>
    <row r="472" spans="1:19" s="37" customFormat="1" ht="24.75" customHeight="1" thickBot="1">
      <c r="A472" s="37" t="s">
        <v>345</v>
      </c>
      <c r="B472" s="869"/>
      <c r="C472" s="870"/>
      <c r="D472" s="870"/>
      <c r="E472" s="870"/>
      <c r="F472" s="870"/>
      <c r="G472" s="871"/>
      <c r="H472" s="872"/>
      <c r="I472" s="872"/>
      <c r="J472" s="872"/>
      <c r="K472" s="872"/>
    </row>
    <row r="473" spans="1:19" s="31" customFormat="1" ht="15" customHeight="1">
      <c r="A473" s="1426" t="s">
        <v>24</v>
      </c>
      <c r="B473" s="1426" t="s">
        <v>46</v>
      </c>
      <c r="C473" s="1427" t="s">
        <v>39</v>
      </c>
      <c r="D473" s="1102"/>
      <c r="E473" s="1427" t="s">
        <v>17</v>
      </c>
      <c r="F473" s="1102" t="s">
        <v>98</v>
      </c>
      <c r="G473" s="1429" t="s">
        <v>335</v>
      </c>
      <c r="H473" s="1429"/>
      <c r="I473" s="1429"/>
      <c r="J473" s="1428" t="s">
        <v>351</v>
      </c>
      <c r="K473" s="1429" t="s">
        <v>36</v>
      </c>
      <c r="L473" s="1429"/>
      <c r="M473" s="1429"/>
      <c r="N473" s="1090" t="s">
        <v>355</v>
      </c>
      <c r="O473" s="1090"/>
      <c r="P473" s="1090"/>
      <c r="Q473" s="1465" t="s">
        <v>356</v>
      </c>
      <c r="R473" s="1466"/>
      <c r="S473" s="1467"/>
    </row>
    <row r="474" spans="1:19" s="31" customFormat="1" ht="25.5">
      <c r="A474" s="1426"/>
      <c r="B474" s="1426"/>
      <c r="C474" s="1427"/>
      <c r="D474" s="1102"/>
      <c r="E474" s="1427"/>
      <c r="F474" s="1102" t="s">
        <v>25</v>
      </c>
      <c r="G474" s="1103" t="s">
        <v>359</v>
      </c>
      <c r="H474" s="1103" t="s">
        <v>358</v>
      </c>
      <c r="I474" s="1103" t="s">
        <v>357</v>
      </c>
      <c r="J474" s="1429"/>
      <c r="K474" s="1103" t="s">
        <v>359</v>
      </c>
      <c r="L474" s="1103" t="s">
        <v>358</v>
      </c>
      <c r="M474" s="1103" t="s">
        <v>357</v>
      </c>
      <c r="N474" s="1091" t="s">
        <v>359</v>
      </c>
      <c r="O474" s="1091" t="s">
        <v>358</v>
      </c>
      <c r="P474" s="1091" t="s">
        <v>357</v>
      </c>
      <c r="Q474" s="453" t="s">
        <v>359</v>
      </c>
      <c r="R474" s="451" t="s">
        <v>358</v>
      </c>
      <c r="S474" s="452" t="s">
        <v>357</v>
      </c>
    </row>
    <row r="475" spans="1:19" s="85" customFormat="1" ht="26.45" customHeight="1">
      <c r="A475" s="520" t="str">
        <f>L_CViec!A438</f>
        <v>VIII</v>
      </c>
      <c r="B475" s="1425" t="str">
        <f>L_CViec!B438</f>
        <v xml:space="preserve">Đăng ký biến động đất đai đối với tổ chức, tổ chức tôn giáo, tổ chức tôn giáo trực thuộc, tổ chức nước ngoài có chức năng ngoại giao, tổ chức kinh tế có vốn đầu tư nước ngoài, tổ chức nước ngoài, cá nhân nước ngoài </v>
      </c>
      <c r="C475" s="1425"/>
      <c r="D475" s="1425"/>
      <c r="E475" s="1425"/>
      <c r="F475" s="1425"/>
      <c r="G475" s="1425"/>
      <c r="H475" s="1425"/>
      <c r="I475" s="1425"/>
      <c r="J475" s="1425"/>
      <c r="K475" s="1093"/>
      <c r="L475" s="1093"/>
      <c r="M475" s="1093"/>
      <c r="N475" s="1090"/>
      <c r="O475" s="1090"/>
      <c r="P475" s="1090"/>
      <c r="Q475" s="518"/>
      <c r="R475" s="518"/>
      <c r="S475" s="484"/>
    </row>
    <row r="476" spans="1:19" s="85" customFormat="1" ht="30" customHeight="1">
      <c r="A476" s="520" t="str">
        <f>L_CViec!A439</f>
        <v>VIII.1</v>
      </c>
      <c r="B476" s="993" t="str">
        <f>L_CViec!B439</f>
        <v>CÁC NỘI DUNG THỰC HIỆN TẠI ĐỊA BÀN CẤP TỈNH</v>
      </c>
      <c r="C476" s="993">
        <f>L_CViec!AB439</f>
        <v>0</v>
      </c>
      <c r="D476" s="993"/>
      <c r="E476" s="993">
        <f>L_CViec!AC439</f>
        <v>0</v>
      </c>
      <c r="F476" s="993">
        <f>L_CViec!AD439</f>
        <v>0</v>
      </c>
      <c r="G476" s="520"/>
      <c r="H476" s="1093"/>
      <c r="I476" s="1093"/>
      <c r="J476" s="1093"/>
      <c r="K476" s="1093">
        <f>SUM(K479,K480,K481,K490,K492,K494,K502,K504,K506,K488,K489,K491,K493,K496,K499,K508,K509,K510,K511,K517)</f>
        <v>2534606.8019999997</v>
      </c>
      <c r="L476" s="1093">
        <f t="shared" ref="L476:M476" si="58">SUM(L479,L480,L481,L490,L492,L494,L502,L504,L506,L488,L489,L491,L493,L496,L499,L508,L509,L510,L511,L517)</f>
        <v>2495092.9769999995</v>
      </c>
      <c r="M476" s="1093">
        <f t="shared" si="58"/>
        <v>3180282.7094999994</v>
      </c>
      <c r="N476" s="1091">
        <f t="shared" ref="N476:S476" si="59">SUM(N479,N480,N481,N485,N490,N492,N494,N500,N502,N504,N506,N507,N484,N486,N487,N488,N489,N495,N498,N505)</f>
        <v>162181.18799999999</v>
      </c>
      <c r="O476" s="1091">
        <f t="shared" si="59"/>
        <v>161644.33350000001</v>
      </c>
      <c r="P476" s="1091">
        <f t="shared" si="59"/>
        <v>207455.91749999998</v>
      </c>
      <c r="Q476" s="153">
        <f t="shared" si="59"/>
        <v>178120</v>
      </c>
      <c r="R476" s="153">
        <f t="shared" si="59"/>
        <v>177530.38461538462</v>
      </c>
      <c r="S476" s="153">
        <f t="shared" si="59"/>
        <v>227844.23076923075</v>
      </c>
    </row>
    <row r="477" spans="1:19" s="85" customFormat="1">
      <c r="A477" s="523" t="str">
        <f>L_CViec!A440</f>
        <v>1</v>
      </c>
      <c r="B477" s="525" t="str">
        <f>L_CViec!B440</f>
        <v>Hướng dẫn lập hồ sơ đăng ký biến động đất đai</v>
      </c>
      <c r="C477" s="523">
        <f>L_CViec!AB440</f>
        <v>0</v>
      </c>
      <c r="D477" s="523"/>
      <c r="E477" s="523">
        <f>L_CViec!AC440</f>
        <v>0</v>
      </c>
      <c r="F477" s="523">
        <f>L_CViec!AD440</f>
        <v>0</v>
      </c>
      <c r="G477" s="523">
        <f>L_CViec!AE440</f>
        <v>0</v>
      </c>
      <c r="H477" s="879">
        <f>L_CViec!AF440</f>
        <v>0</v>
      </c>
      <c r="I477" s="879">
        <f>L_CViec!AG440</f>
        <v>0</v>
      </c>
      <c r="J477" s="294">
        <f>L_CViec!AH440</f>
        <v>0</v>
      </c>
      <c r="K477" s="294"/>
      <c r="L477" s="294"/>
      <c r="M477" s="294"/>
      <c r="N477" s="1090"/>
      <c r="O477" s="1090"/>
      <c r="P477" s="1090"/>
      <c r="Q477" s="152"/>
      <c r="R477" s="152"/>
      <c r="S477" s="96"/>
    </row>
    <row r="478" spans="1:19" s="85" customFormat="1">
      <c r="A478" s="523" t="str">
        <f>L_CViec!A441</f>
        <v>1.1</v>
      </c>
      <c r="B478" s="525" t="str">
        <f>L_CViec!B441</f>
        <v>Theo hình thức trực tiếp</v>
      </c>
      <c r="C478" s="523" t="str">
        <f>L_CViec!AB441</f>
        <v>Hồ sơ</v>
      </c>
      <c r="D478" s="523">
        <f>L_CViec!AA441</f>
        <v>1</v>
      </c>
      <c r="E478" s="523" t="str">
        <f>L_CViec!AC441</f>
        <v>1KS3</v>
      </c>
      <c r="F478" s="523" t="str">
        <f>L_CViec!AD441</f>
        <v>1-3</v>
      </c>
      <c r="G478" s="523">
        <f>L_CViec!AE441</f>
        <v>0.2</v>
      </c>
      <c r="H478" s="879">
        <f>L_CViec!AF441</f>
        <v>0.2</v>
      </c>
      <c r="I478" s="879">
        <f>L_CViec!AG441</f>
        <v>0.26</v>
      </c>
      <c r="J478" s="294">
        <f>L_CViec!AH441</f>
        <v>333450</v>
      </c>
      <c r="K478" s="1136">
        <f>G478*$J478</f>
        <v>66690</v>
      </c>
      <c r="L478" s="1136">
        <f>H478*$J478</f>
        <v>66690</v>
      </c>
      <c r="M478" s="1136">
        <f>I478*$J478</f>
        <v>86697</v>
      </c>
      <c r="N478" s="1091">
        <f>$D478*G478*L_CBac!$J$68</f>
        <v>5112.9000000000005</v>
      </c>
      <c r="O478" s="1091">
        <f>$D478*H478*L_CBac!$J$68</f>
        <v>5112.9000000000005</v>
      </c>
      <c r="P478" s="1091">
        <f>$D478*I478*L_CBac!$J$68</f>
        <v>6646.77</v>
      </c>
      <c r="Q478" s="155">
        <f>$D478*G478*L_CBac!$J$69</f>
        <v>5615.3846153846162</v>
      </c>
      <c r="R478" s="155">
        <f>$D478*H478*L_CBac!$J$69</f>
        <v>5615.3846153846162</v>
      </c>
      <c r="S478" s="94">
        <f>$D478*I478*L_CBac!$J$69</f>
        <v>7300.0000000000009</v>
      </c>
    </row>
    <row r="479" spans="1:19" s="85" customFormat="1">
      <c r="A479" s="523" t="str">
        <f>L_CViec!A442</f>
        <v>1.2</v>
      </c>
      <c r="B479" s="525" t="str">
        <f>L_CViec!B442</f>
        <v>Theo hình thức trực tuyến</v>
      </c>
      <c r="C479" s="523" t="str">
        <f>L_CViec!AB442</f>
        <v>Hồ sơ</v>
      </c>
      <c r="D479" s="523">
        <f>L_CViec!AA442</f>
        <v>1</v>
      </c>
      <c r="E479" s="523" t="str">
        <f>L_CViec!AC442</f>
        <v>1KS3</v>
      </c>
      <c r="F479" s="523" t="str">
        <f>L_CViec!AD442</f>
        <v>1-3</v>
      </c>
      <c r="G479" s="523">
        <f>L_CViec!AE442</f>
        <v>0.15</v>
      </c>
      <c r="H479" s="879">
        <f>L_CViec!AF442</f>
        <v>0.15</v>
      </c>
      <c r="I479" s="879">
        <f>L_CViec!AG442</f>
        <v>0.19500000000000001</v>
      </c>
      <c r="J479" s="294">
        <f>L_CViec!AH442</f>
        <v>333450</v>
      </c>
      <c r="K479" s="1136">
        <f t="shared" ref="K479:K490" si="60">G479*$J479</f>
        <v>50017.5</v>
      </c>
      <c r="L479" s="1136">
        <f t="shared" ref="L479:L490" si="61">H479*$J479</f>
        <v>50017.5</v>
      </c>
      <c r="M479" s="1136">
        <f t="shared" ref="M479:M490" si="62">I479*$J479</f>
        <v>65022.75</v>
      </c>
      <c r="N479" s="1090">
        <f>$D479*G479*L_CBac!$J$68</f>
        <v>3834.6749999999997</v>
      </c>
      <c r="O479" s="1090">
        <f>$D479*H479*L_CBac!$J$68</f>
        <v>3834.6749999999997</v>
      </c>
      <c r="P479" s="1090">
        <f>$D479*I479*L_CBac!$J$68</f>
        <v>4985.0775000000003</v>
      </c>
      <c r="Q479" s="155">
        <f>$D479*G479*L_CBac!$J$69</f>
        <v>4211.5384615384619</v>
      </c>
      <c r="R479" s="155">
        <f>$D479*H479*L_CBac!$J$69</f>
        <v>4211.5384615384619</v>
      </c>
      <c r="S479" s="94">
        <f>$D479*I479*L_CBac!$J$69</f>
        <v>5475</v>
      </c>
    </row>
    <row r="480" spans="1:19" s="85" customFormat="1" ht="38.25">
      <c r="A480" s="523" t="str">
        <f>L_CViec!A443</f>
        <v>2</v>
      </c>
      <c r="B480" s="525" t="str">
        <f>L_CViec!B443</f>
        <v>Nhận, kiểm tra tính đầy đủ của thành phần hồ sơ và cấp Giấy tiếp nhận hồ sơ và hẹn trả kết quả hoặc trả lại hồ sơ, vào sổ theo dõi nhận, trả hồ sơ (theo hình thức trực tiếp, trực tuyến)</v>
      </c>
      <c r="C480" s="523" t="str">
        <f>L_CViec!AB443</f>
        <v>Hồ sơ</v>
      </c>
      <c r="D480" s="523">
        <f>L_CViec!AA443</f>
        <v>1</v>
      </c>
      <c r="E480" s="523" t="str">
        <f>L_CViec!AC443</f>
        <v>1KS3</v>
      </c>
      <c r="F480" s="523" t="str">
        <f>L_CViec!AD443</f>
        <v>1-3</v>
      </c>
      <c r="G480" s="523">
        <f>L_CViec!AE443</f>
        <v>0.3</v>
      </c>
      <c r="H480" s="879">
        <f>L_CViec!AF443</f>
        <v>0.3</v>
      </c>
      <c r="I480" s="879">
        <f>L_CViec!AG443</f>
        <v>0.39</v>
      </c>
      <c r="J480" s="294">
        <f>L_CViec!AH443</f>
        <v>333450</v>
      </c>
      <c r="K480" s="1136">
        <f t="shared" si="60"/>
        <v>100035</v>
      </c>
      <c r="L480" s="1136">
        <f t="shared" si="61"/>
        <v>100035</v>
      </c>
      <c r="M480" s="1136">
        <f t="shared" si="62"/>
        <v>130045.5</v>
      </c>
      <c r="N480" s="1091">
        <f>$D480*G480*L_CBac!$J$68</f>
        <v>7669.3499999999995</v>
      </c>
      <c r="O480" s="1091">
        <f>$D480*H480*L_CBac!$J$68</f>
        <v>7669.3499999999995</v>
      </c>
      <c r="P480" s="1091">
        <f>$D480*I480*L_CBac!$J$68</f>
        <v>9970.1550000000007</v>
      </c>
      <c r="Q480" s="152">
        <f>$D480*G480*L_CBac!$J$69</f>
        <v>8423.0769230769238</v>
      </c>
      <c r="R480" s="152">
        <f>$D480*H480*L_CBac!$J$69</f>
        <v>8423.0769230769238</v>
      </c>
      <c r="S480" s="96">
        <f>$D480*I480*L_CBac!$J$69</f>
        <v>10950</v>
      </c>
    </row>
    <row r="481" spans="1:19" s="85" customFormat="1" ht="25.5">
      <c r="A481" s="523" t="str">
        <f>L_CViec!A444</f>
        <v>3</v>
      </c>
      <c r="B481" s="525" t="str">
        <f>L_CViec!B444</f>
        <v>Tạo tệp (File) dữ liệu hồ sơ số và nhập thông tin do người sử dụng đất, quản lý đất kê khai, đăng ký</v>
      </c>
      <c r="C481" s="523" t="str">
        <f>L_CViec!AB444</f>
        <v>Thửa</v>
      </c>
      <c r="D481" s="523">
        <f>L_CViec!AA444</f>
        <v>1</v>
      </c>
      <c r="E481" s="523" t="str">
        <f>L_CViec!AC444</f>
        <v>1KS3</v>
      </c>
      <c r="F481" s="523" t="str">
        <f>L_CViec!AD444</f>
        <v>1-3</v>
      </c>
      <c r="G481" s="523">
        <f>L_CViec!AE444</f>
        <v>0.107</v>
      </c>
      <c r="H481" s="879">
        <f>L_CViec!AF444</f>
        <v>3.3000000000000002E-2</v>
      </c>
      <c r="I481" s="879">
        <f>L_CViec!AG444</f>
        <v>0.16700000000000001</v>
      </c>
      <c r="J481" s="294">
        <f>L_CViec!AH444</f>
        <v>333450</v>
      </c>
      <c r="K481" s="1136">
        <f t="shared" si="60"/>
        <v>35679.15</v>
      </c>
      <c r="L481" s="1136">
        <f t="shared" si="61"/>
        <v>11003.85</v>
      </c>
      <c r="M481" s="1136">
        <f t="shared" si="62"/>
        <v>55686.15</v>
      </c>
      <c r="N481" s="1090">
        <f>$D481*G481*L_CBac!$J$68</f>
        <v>2735.4014999999999</v>
      </c>
      <c r="O481" s="1090">
        <f>$D481*H481*L_CBac!$J$68</f>
        <v>843.62850000000003</v>
      </c>
      <c r="P481" s="1090">
        <f>$D481*I481*L_CBac!$J$68</f>
        <v>4269.2714999999998</v>
      </c>
      <c r="Q481" s="152">
        <f>$D481*G481*L_CBac!$J$69</f>
        <v>3004.2307692307695</v>
      </c>
      <c r="R481" s="152">
        <f>$D481*H481*L_CBac!$J$69</f>
        <v>926.53846153846166</v>
      </c>
      <c r="S481" s="96">
        <f>$D481*I481*L_CBac!$J$69</f>
        <v>4688.8461538461543</v>
      </c>
    </row>
    <row r="482" spans="1:19" s="471" customFormat="1" ht="25.5">
      <c r="A482" s="523" t="str">
        <f>L_CViec!A445</f>
        <v>4</v>
      </c>
      <c r="B482" s="525" t="str">
        <f>L_CViec!B445</f>
        <v>Quét giấy tờ pháp lý về quyền sử dụng đất, quyền sở hữu nhà ở và tài sản khác gắn liền với đất</v>
      </c>
      <c r="C482" s="523">
        <f>L_CViec!AB445</f>
        <v>0</v>
      </c>
      <c r="D482" s="523">
        <f>L_CViec!AA445</f>
        <v>0</v>
      </c>
      <c r="E482" s="523">
        <f>L_CViec!AC445</f>
        <v>0</v>
      </c>
      <c r="F482" s="523">
        <f>L_CViec!AD445</f>
        <v>0</v>
      </c>
      <c r="G482" s="523">
        <f>L_CViec!AE445</f>
        <v>0</v>
      </c>
      <c r="H482" s="879">
        <f>L_CViec!AF445</f>
        <v>0</v>
      </c>
      <c r="I482" s="879">
        <f>L_CViec!AG445</f>
        <v>0</v>
      </c>
      <c r="J482" s="294">
        <f>L_CViec!AH445</f>
        <v>0</v>
      </c>
      <c r="K482" s="1136">
        <f t="shared" si="60"/>
        <v>0</v>
      </c>
      <c r="L482" s="1136">
        <f t="shared" si="61"/>
        <v>0</v>
      </c>
      <c r="M482" s="1136">
        <f t="shared" si="62"/>
        <v>0</v>
      </c>
      <c r="N482" s="1091">
        <f>$D482*G482*L_CBac!$J$68</f>
        <v>0</v>
      </c>
      <c r="O482" s="1091">
        <f>$D482*H482*L_CBac!$J$68</f>
        <v>0</v>
      </c>
      <c r="P482" s="1091">
        <f>$D482*I482*L_CBac!$J$68</f>
        <v>0</v>
      </c>
      <c r="Q482" s="907"/>
      <c r="R482" s="907"/>
      <c r="S482" s="470"/>
    </row>
    <row r="483" spans="1:19" s="471" customFormat="1">
      <c r="A483" s="523" t="str">
        <f>L_CViec!A446</f>
        <v>4.1</v>
      </c>
      <c r="B483" s="525" t="str">
        <f>L_CViec!B446</f>
        <v>Quét trang A3</v>
      </c>
      <c r="C483" s="523" t="str">
        <f>L_CViec!AB446</f>
        <v>Trang</v>
      </c>
      <c r="D483" s="523">
        <f>L_CViec!AA446</f>
        <v>1</v>
      </c>
      <c r="E483" s="523" t="str">
        <f>L_CViec!AC446</f>
        <v>1KS1</v>
      </c>
      <c r="F483" s="523" t="str">
        <f>L_CViec!AD446</f>
        <v>1-3</v>
      </c>
      <c r="G483" s="523">
        <f>L_CViec!AE446</f>
        <v>1.6E-2</v>
      </c>
      <c r="H483" s="879">
        <f>L_CViec!AF446</f>
        <v>0.02</v>
      </c>
      <c r="I483" s="879">
        <f>L_CViec!AG446</f>
        <v>2.4E-2</v>
      </c>
      <c r="J483" s="294">
        <f>L_CViec!AH446</f>
        <v>260091</v>
      </c>
      <c r="K483" s="1136">
        <f t="shared" si="60"/>
        <v>4161.4560000000001</v>
      </c>
      <c r="L483" s="1136">
        <f t="shared" si="61"/>
        <v>5201.82</v>
      </c>
      <c r="M483" s="1136">
        <f t="shared" si="62"/>
        <v>6242.1840000000002</v>
      </c>
      <c r="N483" s="1090">
        <f>$D483*G483*L_CBac!$J$68</f>
        <v>409.03199999999998</v>
      </c>
      <c r="O483" s="1090">
        <f>$D483*H483*L_CBac!$J$68</f>
        <v>511.29</v>
      </c>
      <c r="P483" s="1090">
        <f>$D483*I483*L_CBac!$J$68</f>
        <v>613.548</v>
      </c>
      <c r="Q483" s="907">
        <f>$D483*G483*L_CBac!$J$69</f>
        <v>449.23076923076928</v>
      </c>
      <c r="R483" s="907">
        <f>$D483*H483*L_CBac!$J$69</f>
        <v>561.53846153846155</v>
      </c>
      <c r="S483" s="470">
        <f>$D483*I483*L_CBac!$J$69</f>
        <v>673.84615384615392</v>
      </c>
    </row>
    <row r="484" spans="1:19" s="471" customFormat="1">
      <c r="A484" s="523" t="str">
        <f>L_CViec!A447</f>
        <v>4.2</v>
      </c>
      <c r="B484" s="525" t="str">
        <f>L_CViec!B447</f>
        <v>Quét trang A4</v>
      </c>
      <c r="C484" s="523" t="str">
        <f>L_CViec!AB447</f>
        <v>Trang</v>
      </c>
      <c r="D484" s="523">
        <f>L_CViec!AA447</f>
        <v>1</v>
      </c>
      <c r="E484" s="523" t="str">
        <f>L_CViec!AC447</f>
        <v>1KS1</v>
      </c>
      <c r="F484" s="523" t="str">
        <f>L_CViec!AD447</f>
        <v>1-3</v>
      </c>
      <c r="G484" s="523">
        <f>L_CViec!AE447</f>
        <v>8.0000000000000002E-3</v>
      </c>
      <c r="H484" s="879">
        <f>L_CViec!AF447</f>
        <v>0.01</v>
      </c>
      <c r="I484" s="879">
        <f>L_CViec!AG447</f>
        <v>1.2E-2</v>
      </c>
      <c r="J484" s="294">
        <f>L_CViec!AH447</f>
        <v>260091</v>
      </c>
      <c r="K484" s="1136">
        <f t="shared" si="60"/>
        <v>2080.7280000000001</v>
      </c>
      <c r="L484" s="1136">
        <f t="shared" si="61"/>
        <v>2600.91</v>
      </c>
      <c r="M484" s="1136">
        <f t="shared" si="62"/>
        <v>3121.0920000000001</v>
      </c>
      <c r="N484" s="1091">
        <f>$D484*G484*L_CBac!$J$68</f>
        <v>204.51599999999999</v>
      </c>
      <c r="O484" s="1091">
        <f>$D484*H484*L_CBac!$J$68</f>
        <v>255.64500000000001</v>
      </c>
      <c r="P484" s="1091">
        <f>$D484*I484*L_CBac!$J$68</f>
        <v>306.774</v>
      </c>
      <c r="Q484" s="907">
        <f>$D484*G484*L_CBac!$J$69</f>
        <v>224.61538461538464</v>
      </c>
      <c r="R484" s="907">
        <f>$D484*H484*L_CBac!$J$69</f>
        <v>280.76923076923077</v>
      </c>
      <c r="S484" s="470">
        <f>$D484*I484*L_CBac!$J$69</f>
        <v>336.92307692307696</v>
      </c>
    </row>
    <row r="485" spans="1:19" s="85" customFormat="1" ht="25.5">
      <c r="A485" s="523" t="str">
        <f>L_CViec!A448</f>
        <v>5</v>
      </c>
      <c r="B485" s="525" t="str">
        <f>L_CViec!B448</f>
        <v>Xử lý các tệp tin quét thành tệp (File) hồ sơ quét dạng số của thửa đất, lưu trữ dưới khuôn dạng tệp tin PDF</v>
      </c>
      <c r="C485" s="523" t="str">
        <f>L_CViec!AB448</f>
        <v>Trang</v>
      </c>
      <c r="D485" s="523">
        <f>L_CViec!AA448</f>
        <v>1</v>
      </c>
      <c r="E485" s="523" t="str">
        <f>L_CViec!AC448</f>
        <v>1KS1</v>
      </c>
      <c r="F485" s="523" t="str">
        <f>L_CViec!AD448</f>
        <v>1-3</v>
      </c>
      <c r="G485" s="523">
        <f>L_CViec!AE448</f>
        <v>4.0000000000000001E-3</v>
      </c>
      <c r="H485" s="879">
        <f>L_CViec!AF448</f>
        <v>5.0000000000000001E-3</v>
      </c>
      <c r="I485" s="879">
        <f>L_CViec!AG448</f>
        <v>6.0000000000000001E-3</v>
      </c>
      <c r="J485" s="294">
        <f>L_CViec!AH448</f>
        <v>260091</v>
      </c>
      <c r="K485" s="1136">
        <f t="shared" si="60"/>
        <v>1040.364</v>
      </c>
      <c r="L485" s="1136">
        <f t="shared" si="61"/>
        <v>1300.4549999999999</v>
      </c>
      <c r="M485" s="1136">
        <f t="shared" si="62"/>
        <v>1560.546</v>
      </c>
      <c r="N485" s="1090">
        <f>$D485*G485*L_CBac!$J$68</f>
        <v>102.258</v>
      </c>
      <c r="O485" s="1090">
        <f>$D485*H485*L_CBac!$J$68</f>
        <v>127.82250000000001</v>
      </c>
      <c r="P485" s="1090">
        <f>$D485*I485*L_CBac!$J$68</f>
        <v>153.387</v>
      </c>
      <c r="Q485" s="152">
        <f>$D485*G485*L_CBac!$J$69</f>
        <v>112.30769230769232</v>
      </c>
      <c r="R485" s="152">
        <f>$D485*H485*L_CBac!$J$69</f>
        <v>140.38461538461539</v>
      </c>
      <c r="S485" s="96">
        <f>$D485*I485*L_CBac!$J$69</f>
        <v>168.46153846153848</v>
      </c>
    </row>
    <row r="486" spans="1:19" s="471" customFormat="1">
      <c r="A486" s="523">
        <f>L_CViec!A449</f>
        <v>6</v>
      </c>
      <c r="B486" s="525" t="str">
        <f>L_CViec!B449</f>
        <v>Chuyển hồ sơ đến Văn phòng đăng ký đất đai</v>
      </c>
      <c r="C486" s="523">
        <f>L_CViec!AB449</f>
        <v>0</v>
      </c>
      <c r="D486" s="523">
        <f>L_CViec!AA449</f>
        <v>0</v>
      </c>
      <c r="E486" s="523">
        <f>L_CViec!AC449</f>
        <v>0</v>
      </c>
      <c r="F486" s="523">
        <f>L_CViec!AD449</f>
        <v>0</v>
      </c>
      <c r="G486" s="523">
        <f>L_CViec!AE449</f>
        <v>0</v>
      </c>
      <c r="H486" s="879">
        <f>L_CViec!AF449</f>
        <v>0</v>
      </c>
      <c r="I486" s="879">
        <f>L_CViec!AG449</f>
        <v>0</v>
      </c>
      <c r="J486" s="294">
        <f>L_CViec!AH449</f>
        <v>0</v>
      </c>
      <c r="K486" s="1136">
        <f t="shared" si="60"/>
        <v>0</v>
      </c>
      <c r="L486" s="1136">
        <f t="shared" si="61"/>
        <v>0</v>
      </c>
      <c r="M486" s="1136">
        <f t="shared" si="62"/>
        <v>0</v>
      </c>
      <c r="N486" s="1091">
        <f>$D486*G486*L_CBac!$J$68</f>
        <v>0</v>
      </c>
      <c r="O486" s="1091">
        <f>$D486*H486*L_CBac!$J$68</f>
        <v>0</v>
      </c>
      <c r="P486" s="1091">
        <f>$D486*I486*L_CBac!$J$68</f>
        <v>0</v>
      </c>
      <c r="Q486" s="907">
        <f>$D486*G486*L_CBac!$J$69</f>
        <v>0</v>
      </c>
      <c r="R486" s="907">
        <f>$D486*H486*L_CBac!$J$69</f>
        <v>0</v>
      </c>
      <c r="S486" s="470">
        <f>$D486*I486*L_CBac!$J$69</f>
        <v>0</v>
      </c>
    </row>
    <row r="487" spans="1:19" s="471" customFormat="1">
      <c r="A487" s="523">
        <f>L_CViec!A450</f>
        <v>6.1</v>
      </c>
      <c r="B487" s="525" t="str">
        <f>L_CViec!B450</f>
        <v>Theo hình thức trực tiếp</v>
      </c>
      <c r="C487" s="523" t="str">
        <f>L_CViec!AB450</f>
        <v>Hồ sơ</v>
      </c>
      <c r="D487" s="523">
        <f>L_CViec!AA450</f>
        <v>1</v>
      </c>
      <c r="E487" s="523" t="str">
        <f>L_CViec!AC450</f>
        <v>1KS2</v>
      </c>
      <c r="F487" s="523" t="str">
        <f>L_CViec!AD450</f>
        <v>1-3</v>
      </c>
      <c r="G487" s="523">
        <f>L_CViec!AE450</f>
        <v>5.0000000000000001E-3</v>
      </c>
      <c r="H487" s="879">
        <f>L_CViec!AF450</f>
        <v>5.0000000000000001E-3</v>
      </c>
      <c r="I487" s="879">
        <f>L_CViec!AG450</f>
        <v>5.0000000000000001E-3</v>
      </c>
      <c r="J487" s="294">
        <f>L_CViec!AH450</f>
        <v>296770.5</v>
      </c>
      <c r="K487" s="1136">
        <f t="shared" si="60"/>
        <v>1483.8525</v>
      </c>
      <c r="L487" s="1136">
        <f t="shared" si="61"/>
        <v>1483.8525</v>
      </c>
      <c r="M487" s="1136">
        <f t="shared" si="62"/>
        <v>1483.8525</v>
      </c>
      <c r="N487" s="1090">
        <f>$D487*G487*L_CBac!$J$68</f>
        <v>127.82250000000001</v>
      </c>
      <c r="O487" s="1090">
        <f>$D487*H487*L_CBac!$J$68</f>
        <v>127.82250000000001</v>
      </c>
      <c r="P487" s="1090">
        <f>$D487*I487*L_CBac!$J$68</f>
        <v>127.82250000000001</v>
      </c>
      <c r="Q487" s="907">
        <f>$D487*G487*L_CBac!$J$69</f>
        <v>140.38461538461539</v>
      </c>
      <c r="R487" s="907">
        <f>$D487*H487*L_CBac!$J$69</f>
        <v>140.38461538461539</v>
      </c>
      <c r="S487" s="470">
        <f>$D487*I487*L_CBac!$J$69</f>
        <v>140.38461538461539</v>
      </c>
    </row>
    <row r="488" spans="1:19" s="471" customFormat="1">
      <c r="A488" s="523">
        <f>L_CViec!A451</f>
        <v>6.2</v>
      </c>
      <c r="B488" s="525" t="str">
        <f>L_CViec!B451</f>
        <v>Theo hình thức trực tuyến</v>
      </c>
      <c r="C488" s="523" t="str">
        <f>L_CViec!AB451</f>
        <v>Hồ sơ</v>
      </c>
      <c r="D488" s="523">
        <f>L_CViec!AA451</f>
        <v>1</v>
      </c>
      <c r="E488" s="523" t="str">
        <f>L_CViec!AC451</f>
        <v>1KS2</v>
      </c>
      <c r="F488" s="523" t="str">
        <f>L_CViec!AD451</f>
        <v>1-3</v>
      </c>
      <c r="G488" s="523">
        <f>L_CViec!AE451</f>
        <v>4.0000000000000001E-3</v>
      </c>
      <c r="H488" s="879">
        <f>L_CViec!AF451</f>
        <v>4.0000000000000001E-3</v>
      </c>
      <c r="I488" s="879">
        <f>L_CViec!AG451</f>
        <v>4.0000000000000001E-3</v>
      </c>
      <c r="J488" s="294">
        <f>L_CViec!AH451</f>
        <v>296770.5</v>
      </c>
      <c r="K488" s="1136">
        <f t="shared" si="60"/>
        <v>1187.0820000000001</v>
      </c>
      <c r="L488" s="1136">
        <f t="shared" si="61"/>
        <v>1187.0820000000001</v>
      </c>
      <c r="M488" s="1136">
        <f t="shared" si="62"/>
        <v>1187.0820000000001</v>
      </c>
      <c r="N488" s="1091">
        <f>$D488*G488*L_CBac!$J$68</f>
        <v>102.258</v>
      </c>
      <c r="O488" s="1091">
        <f>$D488*H488*L_CBac!$J$68</f>
        <v>102.258</v>
      </c>
      <c r="P488" s="1091">
        <f>$D488*I488*L_CBac!$J$68</f>
        <v>102.258</v>
      </c>
      <c r="Q488" s="907">
        <f>$D488*G488*L_CBac!$J$69</f>
        <v>112.30769230769232</v>
      </c>
      <c r="R488" s="907">
        <f>$D488*H488*L_CBac!$J$69</f>
        <v>112.30769230769232</v>
      </c>
      <c r="S488" s="470">
        <f>$D488*I488*L_CBac!$J$69</f>
        <v>112.30769230769232</v>
      </c>
    </row>
    <row r="489" spans="1:19" s="471" customFormat="1" ht="89.25">
      <c r="A489" s="523" t="str">
        <f>L_CViec!A452</f>
        <v>7</v>
      </c>
      <c r="B489" s="525" t="str">
        <f>L_CViec!B452</f>
        <v>Kiểm tra các điều kiện thực hiện quyền theo quy định của Luật Đất đai đối với trường hợp thực hiện quyền của người sử dụng đất, của chủ sở hữu tài sản gắn liền với đất. Trường hợp không đủ điều kiện thực hiện quyền theo quy định của Luật Đất đai hoặc nhận được một trong các văn bản của cơ quan có thẩm quyền về việc dừng giải quyết thủ tục thì thông báo lý do và trả hồ sơ.</v>
      </c>
      <c r="C489" s="523" t="str">
        <f>L_CViec!AB452</f>
        <v>Hồ sơ</v>
      </c>
      <c r="D489" s="523">
        <f>L_CViec!AA452</f>
        <v>2</v>
      </c>
      <c r="E489" s="523" t="str">
        <f>L_CViec!AC452</f>
        <v>1KS3, 1KS2</v>
      </c>
      <c r="F489" s="523" t="str">
        <f>L_CViec!AD452</f>
        <v>1-3</v>
      </c>
      <c r="G489" s="523">
        <f>L_CViec!AE452</f>
        <v>2</v>
      </c>
      <c r="H489" s="879">
        <f>L_CViec!AF452</f>
        <v>2</v>
      </c>
      <c r="I489" s="879">
        <f>L_CViec!AG452</f>
        <v>2.6</v>
      </c>
      <c r="J489" s="294">
        <f>L_CViec!AH452</f>
        <v>630220.5</v>
      </c>
      <c r="K489" s="1136">
        <f t="shared" si="60"/>
        <v>1260441</v>
      </c>
      <c r="L489" s="1136">
        <f t="shared" si="61"/>
        <v>1260441</v>
      </c>
      <c r="M489" s="1136">
        <f t="shared" si="62"/>
        <v>1638573.3</v>
      </c>
      <c r="N489" s="1090">
        <f>$D489*G489*L_CBac!$J$68</f>
        <v>102258</v>
      </c>
      <c r="O489" s="1090">
        <f>$D489*H489*L_CBac!$J$68</f>
        <v>102258</v>
      </c>
      <c r="P489" s="1090">
        <f>$D489*I489*L_CBac!$J$68</f>
        <v>132935.4</v>
      </c>
      <c r="Q489" s="907">
        <f>$D489*G489*L_CBac!$J$69</f>
        <v>112307.69230769231</v>
      </c>
      <c r="R489" s="907">
        <f>$D489*H489*L_CBac!$J$69</f>
        <v>112307.69230769231</v>
      </c>
      <c r="S489" s="470">
        <f>$D489*I489*L_CBac!$J$69</f>
        <v>146000</v>
      </c>
    </row>
    <row r="490" spans="1:19" s="85" customFormat="1" ht="63.75">
      <c r="A490" s="523">
        <f>L_CViec!A453</f>
        <v>8</v>
      </c>
      <c r="B490" s="525" t="str">
        <f>L_CViec!B453</f>
        <v>Thông báo bằng văn bản cho bên chuyển quyền hoặc thực hiện đăng tin 03 lần trên phương tiện thông tin đại chúng ở địa phương đối với trường hợp cấp Giấy chứng nhận diện tích tăng thêm hoặc thông báo cho người sử dụng đất về hủy kết quả đăng ký</v>
      </c>
      <c r="C490" s="523" t="str">
        <f>L_CViec!AB453</f>
        <v>Hồ sơ</v>
      </c>
      <c r="D490" s="523">
        <f>L_CViec!AA453</f>
        <v>1</v>
      </c>
      <c r="E490" s="523" t="str">
        <f>L_CViec!AC453</f>
        <v>1KS3</v>
      </c>
      <c r="F490" s="523" t="str">
        <f>L_CViec!AD453</f>
        <v>1-3</v>
      </c>
      <c r="G490" s="523">
        <f>L_CViec!AE453</f>
        <v>0.2</v>
      </c>
      <c r="H490" s="879">
        <f>L_CViec!AF453</f>
        <v>0.2</v>
      </c>
      <c r="I490" s="879">
        <f>L_CViec!AG453</f>
        <v>0.26</v>
      </c>
      <c r="J490" s="294">
        <f>L_CViec!AH453</f>
        <v>333450</v>
      </c>
      <c r="K490" s="1136">
        <f t="shared" si="60"/>
        <v>66690</v>
      </c>
      <c r="L490" s="1136">
        <f t="shared" si="61"/>
        <v>66690</v>
      </c>
      <c r="M490" s="1136">
        <f t="shared" si="62"/>
        <v>86697</v>
      </c>
      <c r="N490" s="1091">
        <f>$D490*G490*L_CBac!$J$68</f>
        <v>5112.9000000000005</v>
      </c>
      <c r="O490" s="1091">
        <f>$D490*H490*L_CBac!$J$68</f>
        <v>5112.9000000000005</v>
      </c>
      <c r="P490" s="1091">
        <f>$D490*I490*L_CBac!$J$68</f>
        <v>6646.77</v>
      </c>
      <c r="Q490" s="152">
        <f>$D490*G490*L_CBac!$J$69</f>
        <v>5615.3846153846162</v>
      </c>
      <c r="R490" s="152">
        <f>$D490*H490*L_CBac!$J$69</f>
        <v>5615.3846153846162</v>
      </c>
      <c r="S490" s="96">
        <f>$D490*I490*L_CBac!$J$69</f>
        <v>7300.0000000000009</v>
      </c>
    </row>
    <row r="491" spans="1:19" s="85" customFormat="1" ht="25.5">
      <c r="A491" s="523">
        <f>L_CViec!A454</f>
        <v>9</v>
      </c>
      <c r="B491" s="525" t="str">
        <f>L_CViec!B454</f>
        <v>Hướng dẫn các bên nộp đơn đến cơ quan nhà nước có thẩm quyền giải quyết tranh chấp theo quy định</v>
      </c>
      <c r="C491" s="523" t="str">
        <f>L_CViec!AB454</f>
        <v>Hồ sơ</v>
      </c>
      <c r="D491" s="523">
        <f>L_CViec!AA454</f>
        <v>1</v>
      </c>
      <c r="E491" s="523" t="str">
        <f>L_CViec!AC454</f>
        <v>1KS3</v>
      </c>
      <c r="F491" s="523" t="str">
        <f>L_CViec!AD454</f>
        <v>1-3</v>
      </c>
      <c r="G491" s="523">
        <f>L_CViec!AE454</f>
        <v>0.2</v>
      </c>
      <c r="H491" s="879">
        <f>L_CViec!AF454</f>
        <v>0.2</v>
      </c>
      <c r="I491" s="879">
        <f>L_CViec!AG454</f>
        <v>0.26</v>
      </c>
      <c r="J491" s="294">
        <f>L_CViec!AH454</f>
        <v>333450</v>
      </c>
      <c r="K491" s="1136">
        <f t="shared" ref="K491:K517" si="63">G491*$J491</f>
        <v>66690</v>
      </c>
      <c r="L491" s="1136">
        <f t="shared" ref="L491:L517" si="64">H491*$J491</f>
        <v>66690</v>
      </c>
      <c r="M491" s="1136">
        <f t="shared" ref="M491:M517" si="65">I491*$J491</f>
        <v>86697</v>
      </c>
      <c r="N491" s="1090">
        <f>$D491*G491*L_CBac!$J$68</f>
        <v>5112.9000000000005</v>
      </c>
      <c r="O491" s="1090">
        <f>$D491*H491*L_CBac!$J$68</f>
        <v>5112.9000000000005</v>
      </c>
      <c r="P491" s="1090">
        <f>$D491*I491*L_CBac!$J$68</f>
        <v>6646.77</v>
      </c>
      <c r="Q491" s="152"/>
      <c r="R491" s="152"/>
      <c r="S491" s="96"/>
    </row>
    <row r="492" spans="1:19" s="85" customFormat="1" ht="63.75">
      <c r="A492" s="523">
        <f>L_CViec!A455</f>
        <v>10</v>
      </c>
      <c r="B492" s="525" t="str">
        <f>L_CViec!B455</f>
        <v>Kiểm tra hồ sơ cấp Giấy chứng nhận trước đây, trình cơ quan có thẩm quyền ký, ban hành quyết định cho phép chuyển mục đích sử dụng đất hoặc lập biên bản kết luận về nội dung và nguyên nhân sai sót hoặc trình, quyết định thu hồi Giấy chứng nhận</v>
      </c>
      <c r="C492" s="523" t="str">
        <f>L_CViec!AB455</f>
        <v>Hồ sơ</v>
      </c>
      <c r="D492" s="523">
        <f>L_CViec!AA455</f>
        <v>1</v>
      </c>
      <c r="E492" s="523" t="str">
        <f>L_CViec!AC455</f>
        <v>1KS3</v>
      </c>
      <c r="F492" s="523" t="str">
        <f>L_CViec!AD455</f>
        <v>1-3</v>
      </c>
      <c r="G492" s="523">
        <f>L_CViec!AE455</f>
        <v>1</v>
      </c>
      <c r="H492" s="879">
        <f>L_CViec!AF455</f>
        <v>1</v>
      </c>
      <c r="I492" s="879">
        <f>L_CViec!AG455</f>
        <v>1.2</v>
      </c>
      <c r="J492" s="294">
        <f>L_CViec!AH455</f>
        <v>333450</v>
      </c>
      <c r="K492" s="1136">
        <f t="shared" si="63"/>
        <v>333450</v>
      </c>
      <c r="L492" s="1136">
        <f t="shared" si="64"/>
        <v>333450</v>
      </c>
      <c r="M492" s="1136">
        <f t="shared" si="65"/>
        <v>400140</v>
      </c>
      <c r="N492" s="1091">
        <f>$D492*G492*L_CBac!$J$68</f>
        <v>25564.5</v>
      </c>
      <c r="O492" s="1091">
        <f>$D492*H492*L_CBac!$J$68</f>
        <v>25564.5</v>
      </c>
      <c r="P492" s="1091">
        <f>$D492*I492*L_CBac!$J$68</f>
        <v>30677.399999999998</v>
      </c>
      <c r="Q492" s="155">
        <f>$D492*G492*L_CBac!$J$69</f>
        <v>28076.923076923078</v>
      </c>
      <c r="R492" s="155">
        <f>$D492*H492*L_CBac!$J$69</f>
        <v>28076.923076923078</v>
      </c>
      <c r="S492" s="94">
        <f>$D492*I492*L_CBac!$J$69</f>
        <v>33692.307692307695</v>
      </c>
    </row>
    <row r="493" spans="1:19" s="85" customFormat="1" ht="38.25">
      <c r="A493" s="523">
        <f>L_CViec!A456</f>
        <v>11</v>
      </c>
      <c r="B493" s="525" t="str">
        <f>L_CViec!B456</f>
        <v>Thông báo bằng văn bản cho cơ quan thuế về việc chấm dứt quyền và nghĩa vụ của bên chuyển quyền sử dụng đất, quyền sở hữu tài sản gắn liền với đất trong hợp đồng thuê đất</v>
      </c>
      <c r="C493" s="523" t="str">
        <f>L_CViec!AB456</f>
        <v>Hồ sơ</v>
      </c>
      <c r="D493" s="523">
        <f>L_CViec!AA456</f>
        <v>1</v>
      </c>
      <c r="E493" s="523" t="str">
        <f>L_CViec!AC456</f>
        <v>1KS3</v>
      </c>
      <c r="F493" s="523" t="str">
        <f>L_CViec!AD456</f>
        <v>1-3</v>
      </c>
      <c r="G493" s="523">
        <f>L_CViec!AE456</f>
        <v>1</v>
      </c>
      <c r="H493" s="879">
        <f>L_CViec!AF456</f>
        <v>1</v>
      </c>
      <c r="I493" s="879">
        <f>L_CViec!AG456</f>
        <v>1.2</v>
      </c>
      <c r="J493" s="294">
        <f>L_CViec!AH456</f>
        <v>333450</v>
      </c>
      <c r="K493" s="1136">
        <f t="shared" si="63"/>
        <v>333450</v>
      </c>
      <c r="L493" s="1136">
        <f t="shared" si="64"/>
        <v>333450</v>
      </c>
      <c r="M493" s="1136">
        <f t="shared" si="65"/>
        <v>400140</v>
      </c>
      <c r="N493" s="1090">
        <f>$D493*G493*L_CBac!$J$68</f>
        <v>25564.5</v>
      </c>
      <c r="O493" s="1090">
        <f>$D493*H493*L_CBac!$J$68</f>
        <v>25564.5</v>
      </c>
      <c r="P493" s="1090">
        <f>$D493*I493*L_CBac!$J$68</f>
        <v>30677.399999999998</v>
      </c>
      <c r="Q493" s="155">
        <f>$D493*G493*L_CBac!$J$69</f>
        <v>28076.923076923078</v>
      </c>
      <c r="R493" s="155">
        <f>$D493*H493*L_CBac!$J$69</f>
        <v>28076.923076923078</v>
      </c>
      <c r="S493" s="94">
        <f>$D493*I493*L_CBac!$J$69</f>
        <v>33692.307692307695</v>
      </c>
    </row>
    <row r="494" spans="1:19" s="471" customFormat="1" ht="25.5">
      <c r="A494" s="523" t="str">
        <f>L_CViec!A457</f>
        <v>12</v>
      </c>
      <c r="B494" s="525" t="str">
        <f>L_CViec!B457</f>
        <v>Nhập ý kiến xác nhận của cấp tỉnh vào tệp (File) dữ liệu hồ sơ số</v>
      </c>
      <c r="C494" s="523" t="str">
        <f>L_CViec!AB457</f>
        <v>Thửa</v>
      </c>
      <c r="D494" s="523">
        <f>L_CViec!AA457</f>
        <v>1</v>
      </c>
      <c r="E494" s="523" t="str">
        <f>L_CViec!AC457</f>
        <v>1KS3</v>
      </c>
      <c r="F494" s="523" t="str">
        <f>L_CViec!AD457</f>
        <v>1-3</v>
      </c>
      <c r="G494" s="523">
        <f>L_CViec!AE457</f>
        <v>3.0000000000000001E-3</v>
      </c>
      <c r="H494" s="879">
        <f>L_CViec!AF457</f>
        <v>3.0000000000000001E-3</v>
      </c>
      <c r="I494" s="879">
        <f>L_CViec!AG457</f>
        <v>3.0000000000000001E-3</v>
      </c>
      <c r="J494" s="294">
        <f>L_CViec!AH457</f>
        <v>333450</v>
      </c>
      <c r="K494" s="1136">
        <f t="shared" si="63"/>
        <v>1000.35</v>
      </c>
      <c r="L494" s="1136">
        <f t="shared" si="64"/>
        <v>1000.35</v>
      </c>
      <c r="M494" s="1136">
        <f t="shared" si="65"/>
        <v>1000.35</v>
      </c>
      <c r="N494" s="1091">
        <f>$D494*G494*L_CBac!$J$68</f>
        <v>76.6935</v>
      </c>
      <c r="O494" s="1091">
        <f>$D494*H494*L_CBac!$J$68</f>
        <v>76.6935</v>
      </c>
      <c r="P494" s="1091">
        <f>$D494*I494*L_CBac!$J$68</f>
        <v>76.6935</v>
      </c>
      <c r="Q494" s="907">
        <f>$D494*G494*L_CBac!$J$69</f>
        <v>84.230769230769241</v>
      </c>
      <c r="R494" s="907">
        <f>$D494*H494*L_CBac!$J$69</f>
        <v>84.230769230769241</v>
      </c>
      <c r="S494" s="470">
        <f>$D494*I494*L_CBac!$J$69</f>
        <v>84.230769230769241</v>
      </c>
    </row>
    <row r="495" spans="1:19" s="471" customFormat="1" ht="25.5">
      <c r="A495" s="523" t="str">
        <f>L_CViec!A458</f>
        <v>13</v>
      </c>
      <c r="B495" s="525" t="str">
        <f>L_CViec!B458</f>
        <v>Trích lục bản đồ địa chính hoặc trích đo bản đồ địa chính thửa đất đối với nơi chưa có bản đồ địa chính</v>
      </c>
      <c r="C495" s="523">
        <f>L_CViec!AB458</f>
        <v>0</v>
      </c>
      <c r="D495" s="523">
        <f>L_CViec!AA458</f>
        <v>0</v>
      </c>
      <c r="E495" s="523">
        <f>L_CViec!AC458</f>
        <v>0</v>
      </c>
      <c r="F495" s="523">
        <f>L_CViec!AD458</f>
        <v>0</v>
      </c>
      <c r="G495" s="523">
        <f>L_CViec!AE458</f>
        <v>0</v>
      </c>
      <c r="H495" s="879">
        <f>L_CViec!AF458</f>
        <v>0</v>
      </c>
      <c r="I495" s="879">
        <f>L_CViec!AG458</f>
        <v>0</v>
      </c>
      <c r="J495" s="294">
        <f>L_CViec!AH458</f>
        <v>0</v>
      </c>
      <c r="K495" s="1136">
        <f t="shared" si="63"/>
        <v>0</v>
      </c>
      <c r="L495" s="1136">
        <f t="shared" si="64"/>
        <v>0</v>
      </c>
      <c r="M495" s="1136">
        <f t="shared" si="65"/>
        <v>0</v>
      </c>
      <c r="N495" s="1090">
        <f>$D495*G495*L_CBac!$J$68</f>
        <v>0</v>
      </c>
      <c r="O495" s="1090">
        <f>$D495*H495*L_CBac!$J$68</f>
        <v>0</v>
      </c>
      <c r="P495" s="1090">
        <f>$D495*I495*L_CBac!$J$68</f>
        <v>0</v>
      </c>
      <c r="Q495" s="907">
        <f>$D495*G495*L_CBac!$J$69</f>
        <v>0</v>
      </c>
      <c r="R495" s="907">
        <f>$D495*H495*L_CBac!$J$69</f>
        <v>0</v>
      </c>
      <c r="S495" s="470">
        <f>$D495*I495*L_CBac!$J$69</f>
        <v>0</v>
      </c>
    </row>
    <row r="496" spans="1:19" s="471" customFormat="1">
      <c r="A496" s="523" t="str">
        <f>L_CViec!A459</f>
        <v>13.1</v>
      </c>
      <c r="B496" s="525" t="str">
        <f>L_CViec!B459</f>
        <v>Trích lục trên bản đồ dạng số</v>
      </c>
      <c r="C496" s="523" t="str">
        <f>L_CViec!AB459</f>
        <v>Hồ sơ</v>
      </c>
      <c r="D496" s="523">
        <f>L_CViec!AA459</f>
        <v>1</v>
      </c>
      <c r="E496" s="523" t="str">
        <f>L_CViec!AC459</f>
        <v>1KS2</v>
      </c>
      <c r="F496" s="523" t="str">
        <f>L_CViec!AD459</f>
        <v>1-3</v>
      </c>
      <c r="G496" s="523">
        <f>L_CViec!AE459</f>
        <v>0.05</v>
      </c>
      <c r="H496" s="879">
        <f>L_CViec!AF459</f>
        <v>0</v>
      </c>
      <c r="I496" s="879">
        <f>L_CViec!AG459</f>
        <v>0.05</v>
      </c>
      <c r="J496" s="294">
        <f>L_CViec!AH459</f>
        <v>296770.5</v>
      </c>
      <c r="K496" s="1136">
        <f t="shared" si="63"/>
        <v>14838.525000000001</v>
      </c>
      <c r="L496" s="1136">
        <f t="shared" si="64"/>
        <v>0</v>
      </c>
      <c r="M496" s="1136">
        <f t="shared" si="65"/>
        <v>14838.525000000001</v>
      </c>
      <c r="N496" s="1091">
        <f>$D496*G496*L_CBac!$J$68</f>
        <v>1278.2250000000001</v>
      </c>
      <c r="O496" s="1091">
        <f>$D496*H496*L_CBac!$J$68</f>
        <v>0</v>
      </c>
      <c r="P496" s="1091">
        <f>$D496*I496*L_CBac!$J$68</f>
        <v>1278.2250000000001</v>
      </c>
      <c r="Q496" s="907">
        <f>$D496*G496*L_CBac!$J$69</f>
        <v>1403.846153846154</v>
      </c>
      <c r="R496" s="907">
        <f>$D496*H496*L_CBac!$J$69</f>
        <v>0</v>
      </c>
      <c r="S496" s="470">
        <f>$D496*I496*L_CBac!$J$69</f>
        <v>1403.846153846154</v>
      </c>
    </row>
    <row r="497" spans="1:19" s="471" customFormat="1">
      <c r="A497" s="523" t="str">
        <f>L_CViec!A460</f>
        <v>13.2</v>
      </c>
      <c r="B497" s="525" t="str">
        <f>L_CViec!B460</f>
        <v>Trích lục trên bản đồ dạng giấy</v>
      </c>
      <c r="C497" s="523" t="str">
        <f>L_CViec!AB460</f>
        <v>Hồ sơ</v>
      </c>
      <c r="D497" s="523">
        <f>L_CViec!AA460</f>
        <v>1</v>
      </c>
      <c r="E497" s="523" t="str">
        <f>L_CViec!AC460</f>
        <v>1KS2</v>
      </c>
      <c r="F497" s="523" t="str">
        <f>L_CViec!AD460</f>
        <v>1-3</v>
      </c>
      <c r="G497" s="523">
        <f>L_CViec!AE460</f>
        <v>0.1</v>
      </c>
      <c r="H497" s="879">
        <f>L_CViec!AF460</f>
        <v>0</v>
      </c>
      <c r="I497" s="879">
        <f>L_CViec!AG460</f>
        <v>0.1</v>
      </c>
      <c r="J497" s="294">
        <f>L_CViec!AH460</f>
        <v>296770.5</v>
      </c>
      <c r="K497" s="1136">
        <f t="shared" si="63"/>
        <v>29677.050000000003</v>
      </c>
      <c r="L497" s="1136">
        <f t="shared" si="64"/>
        <v>0</v>
      </c>
      <c r="M497" s="1136">
        <f t="shared" si="65"/>
        <v>29677.050000000003</v>
      </c>
      <c r="N497" s="1090">
        <f>$D497*G497*L_CBac!$J$68</f>
        <v>2556.4500000000003</v>
      </c>
      <c r="O497" s="1090">
        <f>$D497*H497*L_CBac!$J$68</f>
        <v>0</v>
      </c>
      <c r="P497" s="1090">
        <f>$D497*I497*L_CBac!$J$68</f>
        <v>2556.4500000000003</v>
      </c>
      <c r="Q497" s="907"/>
      <c r="R497" s="907"/>
      <c r="S497" s="470"/>
    </row>
    <row r="498" spans="1:19" s="471" customFormat="1" ht="25.5">
      <c r="A498" s="523">
        <f>L_CViec!A461</f>
        <v>14</v>
      </c>
      <c r="B498" s="525" t="str">
        <f>L_CViec!B461</f>
        <v>Lập và gửi Phiếu chuyển thông tin để xác định nghĩa vụ tài chính về đất đai (nếu có)</v>
      </c>
      <c r="C498" s="523" t="str">
        <f>L_CViec!AB461</f>
        <v>Hồ sơ</v>
      </c>
      <c r="D498" s="523">
        <f>L_CViec!AA461</f>
        <v>1</v>
      </c>
      <c r="E498" s="523" t="str">
        <f>L_CViec!AC461</f>
        <v>1KS2</v>
      </c>
      <c r="F498" s="523" t="str">
        <f>L_CViec!AD461</f>
        <v>1-3</v>
      </c>
      <c r="G498" s="523">
        <f>L_CViec!AE461</f>
        <v>0.2</v>
      </c>
      <c r="H498" s="879">
        <f>L_CViec!AF461</f>
        <v>0.2</v>
      </c>
      <c r="I498" s="879">
        <f>L_CViec!AG461</f>
        <v>0.26</v>
      </c>
      <c r="J498" s="294">
        <f>L_CViec!AH461</f>
        <v>296770.5</v>
      </c>
      <c r="K498" s="1136">
        <f t="shared" si="63"/>
        <v>59354.100000000006</v>
      </c>
      <c r="L498" s="1136">
        <f t="shared" si="64"/>
        <v>59354.100000000006</v>
      </c>
      <c r="M498" s="1136">
        <f t="shared" si="65"/>
        <v>77160.33</v>
      </c>
      <c r="N498" s="1091">
        <f>$D498*G498*L_CBac!$J$68</f>
        <v>5112.9000000000005</v>
      </c>
      <c r="O498" s="1091">
        <f>$D498*H498*L_CBac!$J$68</f>
        <v>5112.9000000000005</v>
      </c>
      <c r="P498" s="1091">
        <f>$D498*I498*L_CBac!$J$68</f>
        <v>6646.77</v>
      </c>
      <c r="Q498" s="907">
        <f>$D498*G498*L_CBac!$J$69</f>
        <v>5615.3846153846162</v>
      </c>
      <c r="R498" s="907">
        <f>$D498*H498*L_CBac!$J$69</f>
        <v>5615.3846153846162</v>
      </c>
      <c r="S498" s="470">
        <f>$D498*I498*L_CBac!$J$69</f>
        <v>7300.0000000000009</v>
      </c>
    </row>
    <row r="499" spans="1:19" s="471" customFormat="1">
      <c r="A499" s="523">
        <f>L_CViec!A462</f>
        <v>14.1</v>
      </c>
      <c r="B499" s="525" t="str">
        <f>L_CViec!B462</f>
        <v>Chuyển thông tin theo hình thức liên thông</v>
      </c>
      <c r="C499" s="523" t="str">
        <f>L_CViec!AB462</f>
        <v>Hồ sơ</v>
      </c>
      <c r="D499" s="523">
        <f>L_CViec!AA462</f>
        <v>1</v>
      </c>
      <c r="E499" s="523" t="str">
        <f>L_CViec!AC462</f>
        <v>1KS3</v>
      </c>
      <c r="F499" s="523" t="str">
        <f>L_CViec!AD462</f>
        <v>1-3</v>
      </c>
      <c r="G499" s="523">
        <f>L_CViec!AE462</f>
        <v>0.03</v>
      </c>
      <c r="H499" s="879">
        <f>L_CViec!AF462</f>
        <v>0.03</v>
      </c>
      <c r="I499" s="879">
        <f>L_CViec!AG462</f>
        <v>0.03</v>
      </c>
      <c r="J499" s="294">
        <f>L_CViec!AH462</f>
        <v>333450</v>
      </c>
      <c r="K499" s="1136">
        <f t="shared" si="63"/>
        <v>10003.5</v>
      </c>
      <c r="L499" s="1136">
        <f t="shared" si="64"/>
        <v>10003.5</v>
      </c>
      <c r="M499" s="1136">
        <f t="shared" si="65"/>
        <v>10003.5</v>
      </c>
      <c r="N499" s="1090">
        <f>$D499*G499*L_CBac!$J$68</f>
        <v>766.93499999999995</v>
      </c>
      <c r="O499" s="1090">
        <f>$D499*H499*L_CBac!$J$68</f>
        <v>766.93499999999995</v>
      </c>
      <c r="P499" s="1090">
        <f>$D499*I499*L_CBac!$J$68</f>
        <v>766.93499999999995</v>
      </c>
      <c r="Q499" s="907">
        <f>$D499*G499*L_CBac!$J$69</f>
        <v>842.30769230769226</v>
      </c>
      <c r="R499" s="907">
        <f>$D499*H499*L_CBac!$J$69</f>
        <v>842.30769230769226</v>
      </c>
      <c r="S499" s="470">
        <f>$D499*I499*L_CBac!$J$69</f>
        <v>842.30769230769226</v>
      </c>
    </row>
    <row r="500" spans="1:19" s="85" customFormat="1">
      <c r="A500" s="523">
        <f>L_CViec!A463</f>
        <v>14.2</v>
      </c>
      <c r="B500" s="525" t="str">
        <f>L_CViec!B463</f>
        <v>Chuyển thông tin theo hình thức trực tiếp</v>
      </c>
      <c r="C500" s="523" t="str">
        <f>L_CViec!AB463</f>
        <v>Hồ sơ</v>
      </c>
      <c r="D500" s="523">
        <f>L_CViec!AA463</f>
        <v>1</v>
      </c>
      <c r="E500" s="523" t="str">
        <f>L_CViec!AC463</f>
        <v>1KS3</v>
      </c>
      <c r="F500" s="523" t="str">
        <f>L_CViec!AD463</f>
        <v>1-3</v>
      </c>
      <c r="G500" s="523">
        <f>L_CViec!AE463</f>
        <v>0.04</v>
      </c>
      <c r="H500" s="879">
        <f>L_CViec!AF463</f>
        <v>0.04</v>
      </c>
      <c r="I500" s="879">
        <f>L_CViec!AG463</f>
        <v>0.04</v>
      </c>
      <c r="J500" s="294">
        <f>L_CViec!AH463</f>
        <v>333450</v>
      </c>
      <c r="K500" s="1136">
        <f t="shared" si="63"/>
        <v>13338</v>
      </c>
      <c r="L500" s="1136">
        <f t="shared" si="64"/>
        <v>13338</v>
      </c>
      <c r="M500" s="1136">
        <f t="shared" si="65"/>
        <v>13338</v>
      </c>
      <c r="N500" s="1091">
        <f>$D500*G500*L_CBac!$J$68</f>
        <v>1022.58</v>
      </c>
      <c r="O500" s="1091">
        <f>$D500*H500*L_CBac!$J$68</f>
        <v>1022.58</v>
      </c>
      <c r="P500" s="1091">
        <f>$D500*I500*L_CBac!$J$68</f>
        <v>1022.58</v>
      </c>
      <c r="Q500" s="152">
        <f>$D500*G500*L_CBac!$J$69</f>
        <v>1123.0769230769231</v>
      </c>
      <c r="R500" s="152">
        <f>$D500*H500*L_CBac!$J$69</f>
        <v>1123.0769230769231</v>
      </c>
      <c r="S500" s="96">
        <f>$D500*I500*L_CBac!$J$69</f>
        <v>1123.0769230769231</v>
      </c>
    </row>
    <row r="501" spans="1:19" s="85" customFormat="1" ht="25.5">
      <c r="A501" s="523">
        <f>L_CViec!A464</f>
        <v>15</v>
      </c>
      <c r="B501" s="525" t="str">
        <f>L_CViec!B464</f>
        <v>Nhận thông báo của cơ quan thuế về việc hoàn thành nghĩa vụ tài chính</v>
      </c>
      <c r="C501" s="523">
        <f>L_CViec!AB464</f>
        <v>0</v>
      </c>
      <c r="D501" s="523">
        <f>L_CViec!AA464</f>
        <v>0</v>
      </c>
      <c r="E501" s="523">
        <f>L_CViec!AC464</f>
        <v>0</v>
      </c>
      <c r="F501" s="523">
        <f>L_CViec!AD464</f>
        <v>0</v>
      </c>
      <c r="G501" s="523">
        <f>L_CViec!AE464</f>
        <v>0</v>
      </c>
      <c r="H501" s="879">
        <f>L_CViec!AF464</f>
        <v>0</v>
      </c>
      <c r="I501" s="879">
        <f>L_CViec!AG464</f>
        <v>0</v>
      </c>
      <c r="J501" s="294">
        <f>L_CViec!AH464</f>
        <v>0</v>
      </c>
      <c r="K501" s="1136">
        <f t="shared" si="63"/>
        <v>0</v>
      </c>
      <c r="L501" s="1136">
        <f t="shared" si="64"/>
        <v>0</v>
      </c>
      <c r="M501" s="1136">
        <f t="shared" si="65"/>
        <v>0</v>
      </c>
      <c r="N501" s="1090">
        <f>$D501*G501*L_CBac!$J$68</f>
        <v>0</v>
      </c>
      <c r="O501" s="1090">
        <f>$D501*H501*L_CBac!$J$68</f>
        <v>0</v>
      </c>
      <c r="P501" s="1090">
        <f>$D501*I501*L_CBac!$J$68</f>
        <v>0</v>
      </c>
      <c r="Q501" s="152"/>
      <c r="R501" s="152"/>
      <c r="S501" s="96"/>
    </row>
    <row r="502" spans="1:19" s="85" customFormat="1">
      <c r="A502" s="523">
        <f>L_CViec!A465</f>
        <v>15.1</v>
      </c>
      <c r="B502" s="525" t="str">
        <f>L_CViec!B465</f>
        <v>Chuyển thông tin theo hình thức liên thông</v>
      </c>
      <c r="C502" s="523" t="str">
        <f>L_CViec!AB465</f>
        <v>Hồ sơ</v>
      </c>
      <c r="D502" s="523">
        <f>L_CViec!AA465</f>
        <v>1</v>
      </c>
      <c r="E502" s="523" t="str">
        <f>L_CViec!AC465</f>
        <v>1KS2</v>
      </c>
      <c r="F502" s="523" t="str">
        <f>L_CViec!AD465</f>
        <v>1-3</v>
      </c>
      <c r="G502" s="523">
        <f>L_CViec!AE465</f>
        <v>0.04</v>
      </c>
      <c r="H502" s="879">
        <f>L_CViec!AF465</f>
        <v>0.04</v>
      </c>
      <c r="I502" s="879">
        <f>L_CViec!AG465</f>
        <v>0.04</v>
      </c>
      <c r="J502" s="294">
        <f>L_CViec!AH465</f>
        <v>296770.5</v>
      </c>
      <c r="K502" s="1136">
        <f t="shared" si="63"/>
        <v>11870.82</v>
      </c>
      <c r="L502" s="1136">
        <f t="shared" si="64"/>
        <v>11870.82</v>
      </c>
      <c r="M502" s="1136">
        <f t="shared" si="65"/>
        <v>11870.82</v>
      </c>
      <c r="N502" s="1091">
        <f>$D502*G502*L_CBac!$J$68</f>
        <v>1022.58</v>
      </c>
      <c r="O502" s="1091">
        <f>$D502*H502*L_CBac!$J$68</f>
        <v>1022.58</v>
      </c>
      <c r="P502" s="1091">
        <f>$D502*I502*L_CBac!$J$68</f>
        <v>1022.58</v>
      </c>
      <c r="Q502" s="155">
        <f>$D502*G502*L_CBac!$J$69</f>
        <v>1123.0769230769231</v>
      </c>
      <c r="R502" s="155">
        <f>$D502*H502*L_CBac!$J$69</f>
        <v>1123.0769230769231</v>
      </c>
      <c r="S502" s="94">
        <f>$D502*I502*L_CBac!$J$69</f>
        <v>1123.0769230769231</v>
      </c>
    </row>
    <row r="503" spans="1:19" s="85" customFormat="1">
      <c r="A503" s="523">
        <f>L_CViec!A466</f>
        <v>15.2</v>
      </c>
      <c r="B503" s="525" t="str">
        <f>L_CViec!B466</f>
        <v>Chuyển thông tin theo hình thức trực tiếp</v>
      </c>
      <c r="C503" s="523" t="str">
        <f>L_CViec!AB466</f>
        <v>Hồ sơ</v>
      </c>
      <c r="D503" s="523">
        <f>L_CViec!AA466</f>
        <v>1</v>
      </c>
      <c r="E503" s="523" t="str">
        <f>L_CViec!AC466</f>
        <v>1KS2</v>
      </c>
      <c r="F503" s="523" t="str">
        <f>L_CViec!AD466</f>
        <v>1-3</v>
      </c>
      <c r="G503" s="523">
        <f>L_CViec!AE466</f>
        <v>0.03</v>
      </c>
      <c r="H503" s="879">
        <f>L_CViec!AF466</f>
        <v>0.03</v>
      </c>
      <c r="I503" s="879">
        <f>L_CViec!AG466</f>
        <v>0.03</v>
      </c>
      <c r="J503" s="294">
        <f>L_CViec!AH466</f>
        <v>296770.5</v>
      </c>
      <c r="K503" s="1136">
        <f t="shared" si="63"/>
        <v>8903.1149999999998</v>
      </c>
      <c r="L503" s="1136">
        <f t="shared" si="64"/>
        <v>8903.1149999999998</v>
      </c>
      <c r="M503" s="1136">
        <f t="shared" si="65"/>
        <v>8903.1149999999998</v>
      </c>
      <c r="N503" s="1090">
        <f>$D503*G503*L_CBac!$J$68</f>
        <v>766.93499999999995</v>
      </c>
      <c r="O503" s="1090">
        <f>$D503*H503*L_CBac!$J$68</f>
        <v>766.93499999999995</v>
      </c>
      <c r="P503" s="1090">
        <f>$D503*I503*L_CBac!$J$68</f>
        <v>766.93499999999995</v>
      </c>
      <c r="Q503" s="155">
        <f>$D503*G503*L_CBac!$J$69</f>
        <v>842.30769230769226</v>
      </c>
      <c r="R503" s="155">
        <f>$D503*H503*L_CBac!$J$69</f>
        <v>842.30769230769226</v>
      </c>
      <c r="S503" s="94">
        <f>$D503*I503*L_CBac!$J$69</f>
        <v>842.30769230769226</v>
      </c>
    </row>
    <row r="504" spans="1:19" s="85" customFormat="1" ht="34.5" customHeight="1">
      <c r="A504" s="523" t="str">
        <f>L_CViec!A467</f>
        <v>16</v>
      </c>
      <c r="B504" s="525" t="str">
        <f>L_CViec!B467</f>
        <v>Nhập thông tin về nghĩa vụ tài chính, đăng ký vào hồ sơ địa chính</v>
      </c>
      <c r="C504" s="523" t="str">
        <f>L_CViec!AB467</f>
        <v>Thửa</v>
      </c>
      <c r="D504" s="523">
        <f>L_CViec!AA467</f>
        <v>1</v>
      </c>
      <c r="E504" s="523" t="str">
        <f>L_CViec!AC467</f>
        <v>1KS3</v>
      </c>
      <c r="F504" s="523" t="str">
        <f>L_CViec!AD467</f>
        <v>1-3</v>
      </c>
      <c r="G504" s="523">
        <f>L_CViec!AE467</f>
        <v>3.3000000000000002E-2</v>
      </c>
      <c r="H504" s="879">
        <f>L_CViec!AF467</f>
        <v>3.3000000000000002E-2</v>
      </c>
      <c r="I504" s="879">
        <f>L_CViec!AG467</f>
        <v>3.3000000000000002E-2</v>
      </c>
      <c r="J504" s="294">
        <f>L_CViec!AH467</f>
        <v>333450</v>
      </c>
      <c r="K504" s="1136">
        <f t="shared" si="63"/>
        <v>11003.85</v>
      </c>
      <c r="L504" s="1136">
        <f t="shared" si="64"/>
        <v>11003.85</v>
      </c>
      <c r="M504" s="1136">
        <f t="shared" si="65"/>
        <v>11003.85</v>
      </c>
      <c r="N504" s="1091">
        <f>$D504*G504*L_CBac!$J$68</f>
        <v>843.62850000000003</v>
      </c>
      <c r="O504" s="1091">
        <f>$D504*H504*L_CBac!$J$68</f>
        <v>843.62850000000003</v>
      </c>
      <c r="P504" s="1091">
        <f>$D504*I504*L_CBac!$J$68</f>
        <v>843.62850000000003</v>
      </c>
      <c r="Q504" s="152">
        <f>$D504*G504*L_CBac!$J$69</f>
        <v>926.53846153846166</v>
      </c>
      <c r="R504" s="152">
        <f>$D504*H504*L_CBac!$J$69</f>
        <v>926.53846153846166</v>
      </c>
      <c r="S504" s="96">
        <f>$D504*I504*L_CBac!$J$69</f>
        <v>926.53846153846166</v>
      </c>
    </row>
    <row r="505" spans="1:19" s="471" customFormat="1" ht="30" customHeight="1">
      <c r="A505" s="523" t="str">
        <f>L_CViec!A468</f>
        <v>17</v>
      </c>
      <c r="B505" s="525" t="str">
        <f>L_CViec!B468</f>
        <v>In GCN</v>
      </c>
      <c r="C505" s="523">
        <f>L_CViec!AB468</f>
        <v>0</v>
      </c>
      <c r="D505" s="523">
        <f>L_CViec!AA468</f>
        <v>1</v>
      </c>
      <c r="E505" s="523">
        <f>L_CViec!AC468</f>
        <v>0</v>
      </c>
      <c r="F505" s="523">
        <f>L_CViec!AD468</f>
        <v>0</v>
      </c>
      <c r="G505" s="523">
        <f>L_CViec!AE468</f>
        <v>0</v>
      </c>
      <c r="H505" s="879">
        <f>L_CViec!AF468</f>
        <v>0</v>
      </c>
      <c r="I505" s="879">
        <f>L_CViec!AG468</f>
        <v>0</v>
      </c>
      <c r="J505" s="294">
        <f>L_CViec!AH468</f>
        <v>296770.5</v>
      </c>
      <c r="K505" s="1136">
        <f t="shared" si="63"/>
        <v>0</v>
      </c>
      <c r="L505" s="1136">
        <f t="shared" si="64"/>
        <v>0</v>
      </c>
      <c r="M505" s="1136">
        <f t="shared" si="65"/>
        <v>0</v>
      </c>
      <c r="N505" s="1090">
        <f>$D505*G505*L_CBac!$J$68</f>
        <v>0</v>
      </c>
      <c r="O505" s="1090">
        <f>$D505*H505*L_CBac!$J$68</f>
        <v>0</v>
      </c>
      <c r="P505" s="1090">
        <f>$D505*I505*L_CBac!$J$68</f>
        <v>0</v>
      </c>
      <c r="Q505" s="907">
        <f>$D505*G505*L_CBac!$J$69</f>
        <v>0</v>
      </c>
      <c r="R505" s="907">
        <f>$D505*H505*L_CBac!$J$69</f>
        <v>0</v>
      </c>
      <c r="S505" s="470">
        <f>$D505*I505*L_CBac!$J$69</f>
        <v>0</v>
      </c>
    </row>
    <row r="506" spans="1:19" s="85" customFormat="1" ht="39" customHeight="1">
      <c r="A506" s="523" t="str">
        <f>L_CViec!A469</f>
        <v>17.1</v>
      </c>
      <c r="B506" s="525" t="str">
        <f>L_CViec!B469</f>
        <v>Trực tiếp từ cơ sở dữ liệu dạng số</v>
      </c>
      <c r="C506" s="523" t="str">
        <f>L_CViec!AB469</f>
        <v>GCN</v>
      </c>
      <c r="D506" s="523">
        <f>L_CViec!AA469</f>
        <v>1</v>
      </c>
      <c r="E506" s="523" t="str">
        <f>L_CViec!AC469</f>
        <v>1KS2</v>
      </c>
      <c r="F506" s="523" t="str">
        <f>L_CViec!AD469</f>
        <v>1-3</v>
      </c>
      <c r="G506" s="523">
        <f>L_CViec!AE469</f>
        <v>0.1</v>
      </c>
      <c r="H506" s="879">
        <f>L_CViec!AF469</f>
        <v>0.1</v>
      </c>
      <c r="I506" s="879">
        <f>L_CViec!AG469</f>
        <v>0.1</v>
      </c>
      <c r="J506" s="294">
        <f>L_CViec!AH469</f>
        <v>296770.5</v>
      </c>
      <c r="K506" s="1136">
        <f t="shared" si="63"/>
        <v>29677.050000000003</v>
      </c>
      <c r="L506" s="1136">
        <f t="shared" si="64"/>
        <v>29677.050000000003</v>
      </c>
      <c r="M506" s="1136">
        <f t="shared" si="65"/>
        <v>29677.050000000003</v>
      </c>
      <c r="N506" s="1091">
        <f>$D506*G506*L_CBac!$J$68</f>
        <v>2556.4500000000003</v>
      </c>
      <c r="O506" s="1091">
        <f>$D506*H506*L_CBac!$J$68</f>
        <v>2556.4500000000003</v>
      </c>
      <c r="P506" s="1091">
        <f>$D506*I506*L_CBac!$J$68</f>
        <v>2556.4500000000003</v>
      </c>
      <c r="Q506" s="152">
        <f>$D506*G506*L_CBac!$J$69</f>
        <v>2807.6923076923081</v>
      </c>
      <c r="R506" s="152">
        <f>$D506*H506*L_CBac!$J$69</f>
        <v>2807.6923076923081</v>
      </c>
      <c r="S506" s="96">
        <f>$D506*I506*L_CBac!$J$69</f>
        <v>2807.6923076923081</v>
      </c>
    </row>
    <row r="507" spans="1:19" s="85" customFormat="1" ht="27" customHeight="1">
      <c r="A507" s="523" t="str">
        <f>L_CViec!A470</f>
        <v>17.2</v>
      </c>
      <c r="B507" s="525" t="str">
        <f>L_CViec!B470</f>
        <v>Đối với những nơi chưa có bản đồ dạng số</v>
      </c>
      <c r="C507" s="523" t="str">
        <f>L_CViec!AB470</f>
        <v>GCN</v>
      </c>
      <c r="D507" s="523">
        <f>L_CViec!AA470</f>
        <v>1</v>
      </c>
      <c r="E507" s="523" t="str">
        <f>L_CViec!AC470</f>
        <v>1KS2</v>
      </c>
      <c r="F507" s="523" t="str">
        <f>L_CViec!AD470</f>
        <v>1-3</v>
      </c>
      <c r="G507" s="523">
        <f>L_CViec!AE470</f>
        <v>0.15</v>
      </c>
      <c r="H507" s="879">
        <f>L_CViec!AF470</f>
        <v>0.2</v>
      </c>
      <c r="I507" s="879">
        <f>L_CViec!AG470</f>
        <v>0.2</v>
      </c>
      <c r="J507" s="294">
        <f>L_CViec!AH470</f>
        <v>296770.5</v>
      </c>
      <c r="K507" s="1136">
        <f t="shared" si="63"/>
        <v>44515.574999999997</v>
      </c>
      <c r="L507" s="1136">
        <f t="shared" si="64"/>
        <v>59354.100000000006</v>
      </c>
      <c r="M507" s="1136">
        <f t="shared" si="65"/>
        <v>59354.100000000006</v>
      </c>
      <c r="N507" s="1090">
        <f>$D507*G507*L_CBac!$J$68</f>
        <v>3834.6749999999997</v>
      </c>
      <c r="O507" s="1090">
        <f>$D507*H507*L_CBac!$J$68</f>
        <v>5112.9000000000005</v>
      </c>
      <c r="P507" s="1090">
        <f>$D507*I507*L_CBac!$J$68</f>
        <v>5112.9000000000005</v>
      </c>
      <c r="Q507" s="152">
        <f>$D507*G507*L_CBac!$J$69</f>
        <v>4211.5384615384619</v>
      </c>
      <c r="R507" s="152">
        <f>$D507*H507*L_CBac!$J$69</f>
        <v>5615.3846153846162</v>
      </c>
      <c r="S507" s="96">
        <f>$D507*I507*L_CBac!$J$69</f>
        <v>5615.3846153846162</v>
      </c>
    </row>
    <row r="508" spans="1:19" s="85" customFormat="1">
      <c r="A508" s="523" t="str">
        <f>L_CViec!A471</f>
        <v>18</v>
      </c>
      <c r="B508" s="525" t="str">
        <f>L_CViec!B471</f>
        <v>Xác nhận nội dung biến động trên GCN hoặc cấp GCN mới</v>
      </c>
      <c r="C508" s="523" t="str">
        <f>L_CViec!AB471</f>
        <v>GCN</v>
      </c>
      <c r="D508" s="523">
        <f>L_CViec!AA471</f>
        <v>1</v>
      </c>
      <c r="E508" s="523" t="str">
        <f>L_CViec!AC471</f>
        <v>1KS2</v>
      </c>
      <c r="F508" s="523" t="str">
        <f>L_CViec!AD471</f>
        <v>1-3</v>
      </c>
      <c r="G508" s="523">
        <f>L_CViec!AE471</f>
        <v>0.1</v>
      </c>
      <c r="H508" s="879">
        <f>L_CViec!AF471</f>
        <v>0.1</v>
      </c>
      <c r="I508" s="879">
        <f>L_CViec!AG471</f>
        <v>0.1</v>
      </c>
      <c r="J508" s="294">
        <f>L_CViec!AH471</f>
        <v>296770.5</v>
      </c>
      <c r="K508" s="1136">
        <f t="shared" si="63"/>
        <v>29677.050000000003</v>
      </c>
      <c r="L508" s="1136">
        <f t="shared" si="64"/>
        <v>29677.050000000003</v>
      </c>
      <c r="M508" s="1136">
        <f t="shared" si="65"/>
        <v>29677.050000000003</v>
      </c>
      <c r="N508" s="1091">
        <f>$D508*G508*L_CBac!$J$68</f>
        <v>2556.4500000000003</v>
      </c>
      <c r="O508" s="1091">
        <f>$D508*H508*L_CBac!$J$68</f>
        <v>2556.4500000000003</v>
      </c>
      <c r="P508" s="1091">
        <f>$D508*I508*L_CBac!$J$68</f>
        <v>2556.4500000000003</v>
      </c>
      <c r="Q508" s="152">
        <f>Q509+Q512+Q513</f>
        <v>11764.23076923077</v>
      </c>
      <c r="R508" s="152">
        <f>R509+R512+R513</f>
        <v>11764.23076923077</v>
      </c>
      <c r="S508" s="96">
        <f>S509+S512+S513</f>
        <v>13954.23076923077</v>
      </c>
    </row>
    <row r="509" spans="1:19" s="85" customFormat="1" ht="25.5">
      <c r="A509" s="523" t="str">
        <f>L_CViec!A472</f>
        <v>19</v>
      </c>
      <c r="B509" s="525" t="str">
        <f>L_CViec!B472</f>
        <v>Thu hồi Giấy chứng nhận đã cấp của bên thuê, bên thuê lại đất đối với trường hợp xóa cho thuê, cho thuê lại đất</v>
      </c>
      <c r="C509" s="523" t="str">
        <f>L_CViec!AB472</f>
        <v>GCN</v>
      </c>
      <c r="D509" s="523">
        <f>L_CViec!AA472</f>
        <v>1</v>
      </c>
      <c r="E509" s="523" t="str">
        <f>L_CViec!AC472</f>
        <v>1KS2</v>
      </c>
      <c r="F509" s="523" t="str">
        <f>L_CViec!AD472</f>
        <v>1-3</v>
      </c>
      <c r="G509" s="523">
        <f>L_CViec!AE472</f>
        <v>0.1</v>
      </c>
      <c r="H509" s="879">
        <f>L_CViec!AF472</f>
        <v>0.1</v>
      </c>
      <c r="I509" s="879">
        <f>L_CViec!AG472</f>
        <v>0.1</v>
      </c>
      <c r="J509" s="294">
        <f>L_CViec!AH472</f>
        <v>296770.5</v>
      </c>
      <c r="K509" s="1136">
        <f t="shared" si="63"/>
        <v>29677.050000000003</v>
      </c>
      <c r="L509" s="1136">
        <f t="shared" si="64"/>
        <v>29677.050000000003</v>
      </c>
      <c r="M509" s="1136">
        <f t="shared" si="65"/>
        <v>29677.050000000003</v>
      </c>
      <c r="N509" s="1090">
        <f>$D509*G509*L_CBac!$J$68</f>
        <v>2556.4500000000003</v>
      </c>
      <c r="O509" s="1090">
        <f>$D509*H509*L_CBac!$J$68</f>
        <v>2556.4500000000003</v>
      </c>
      <c r="P509" s="1090">
        <f>$D509*I509*L_CBac!$J$68</f>
        <v>2556.4500000000003</v>
      </c>
      <c r="Q509" s="152">
        <f>SUM(Q510:Q511)</f>
        <v>11315</v>
      </c>
      <c r="R509" s="152">
        <f>SUM(R510:R511)</f>
        <v>11315</v>
      </c>
      <c r="S509" s="96">
        <f>SUM(S510:S511)</f>
        <v>13392.692307692309</v>
      </c>
    </row>
    <row r="510" spans="1:19" s="85" customFormat="1" ht="25.5">
      <c r="A510" s="523" t="str">
        <f>L_CViec!A473</f>
        <v>20</v>
      </c>
      <c r="B510" s="525" t="str">
        <f>L_CViec!B473</f>
        <v>Nhập thông tin vào Sổ cấp giấy; gửi thông báo biến động cho cấp xã</v>
      </c>
      <c r="C510" s="523" t="str">
        <f>L_CViec!AB473</f>
        <v>Hồ sơ</v>
      </c>
      <c r="D510" s="523">
        <f>L_CViec!AA473</f>
        <v>1</v>
      </c>
      <c r="E510" s="523" t="str">
        <f>L_CViec!AC473</f>
        <v>1KS3</v>
      </c>
      <c r="F510" s="523" t="str">
        <f>L_CViec!AD473</f>
        <v>1-3</v>
      </c>
      <c r="G510" s="523">
        <f>L_CViec!AE473</f>
        <v>0.37</v>
      </c>
      <c r="H510" s="879">
        <f>L_CViec!AF473</f>
        <v>0.37</v>
      </c>
      <c r="I510" s="879">
        <f>L_CViec!AG473</f>
        <v>0.44400000000000001</v>
      </c>
      <c r="J510" s="294">
        <f>L_CViec!AH473</f>
        <v>333450</v>
      </c>
      <c r="K510" s="1136">
        <f t="shared" si="63"/>
        <v>123376.5</v>
      </c>
      <c r="L510" s="1136">
        <f t="shared" si="64"/>
        <v>123376.5</v>
      </c>
      <c r="M510" s="1136">
        <f t="shared" si="65"/>
        <v>148051.79999999999</v>
      </c>
      <c r="N510" s="1091">
        <f>$D510*G510*L_CBac!$J$68</f>
        <v>9458.8649999999998</v>
      </c>
      <c r="O510" s="1091">
        <f>$D510*H510*L_CBac!$J$68</f>
        <v>9458.8649999999998</v>
      </c>
      <c r="P510" s="1091">
        <f>$D510*I510*L_CBac!$J$68</f>
        <v>11350.638000000001</v>
      </c>
      <c r="Q510" s="93">
        <f>$D510*G510*L_CBac!$J$69</f>
        <v>10388.461538461539</v>
      </c>
      <c r="R510" s="93">
        <f>$D510*H510*L_CBac!$J$69</f>
        <v>10388.461538461539</v>
      </c>
      <c r="S510" s="94">
        <f>$D510*I510*L_CBac!$J$69</f>
        <v>12466.153846153848</v>
      </c>
    </row>
    <row r="511" spans="1:19" s="85" customFormat="1">
      <c r="A511" s="523" t="str">
        <f>L_CViec!A474</f>
        <v>21</v>
      </c>
      <c r="B511" s="525" t="str">
        <f>L_CViec!B474</f>
        <v>Nhập bổ sung thông tin dữ liệu về GCN</v>
      </c>
      <c r="C511" s="523" t="str">
        <f>L_CViec!AB474</f>
        <v>Thửa</v>
      </c>
      <c r="D511" s="523">
        <f>L_CViec!AA474</f>
        <v>1</v>
      </c>
      <c r="E511" s="523" t="str">
        <f>L_CViec!AC474</f>
        <v>1KS3</v>
      </c>
      <c r="F511" s="523" t="str">
        <f>L_CViec!AD474</f>
        <v>1-3</v>
      </c>
      <c r="G511" s="523">
        <f>L_CViec!AE474</f>
        <v>3.3000000000000002E-2</v>
      </c>
      <c r="H511" s="879">
        <f>L_CViec!AF474</f>
        <v>3.3000000000000002E-2</v>
      </c>
      <c r="I511" s="879">
        <f>L_CViec!AG474</f>
        <v>3.3000000000000002E-2</v>
      </c>
      <c r="J511" s="294">
        <f>L_CViec!AH474</f>
        <v>333450</v>
      </c>
      <c r="K511" s="1136">
        <f t="shared" si="63"/>
        <v>11003.85</v>
      </c>
      <c r="L511" s="1136">
        <f t="shared" si="64"/>
        <v>11003.85</v>
      </c>
      <c r="M511" s="1136">
        <f t="shared" si="65"/>
        <v>11003.85</v>
      </c>
      <c r="N511" s="1090">
        <f>$D511*G511*L_CBac!$J$68</f>
        <v>843.62850000000003</v>
      </c>
      <c r="O511" s="1090">
        <f>$D511*H511*L_CBac!$J$68</f>
        <v>843.62850000000003</v>
      </c>
      <c r="P511" s="1090">
        <f>$D511*I511*L_CBac!$J$68</f>
        <v>843.62850000000003</v>
      </c>
      <c r="Q511" s="93">
        <f>$D511*G511*L_CBac!$J$69</f>
        <v>926.53846153846166</v>
      </c>
      <c r="R511" s="93">
        <f>$D511*H511*L_CBac!$J$69</f>
        <v>926.53846153846166</v>
      </c>
      <c r="S511" s="94">
        <f>$D511*I511*L_CBac!$J$69</f>
        <v>926.53846153846166</v>
      </c>
    </row>
    <row r="512" spans="1:19" s="85" customFormat="1" ht="25.5">
      <c r="A512" s="523" t="str">
        <f>L_CViec!A475</f>
        <v>22</v>
      </c>
      <c r="B512" s="525" t="str">
        <f>L_CViec!B475</f>
        <v>Quét giấy tờ pháp lý về quyền sử dụng đất, quyền sở hữu nhà ở và tài sản khác gắn liền với đất</v>
      </c>
      <c r="C512" s="523">
        <f>L_CViec!AB475</f>
        <v>0</v>
      </c>
      <c r="D512" s="523">
        <f>L_CViec!AA475</f>
        <v>0</v>
      </c>
      <c r="E512" s="523">
        <f>L_CViec!AC475</f>
        <v>0</v>
      </c>
      <c r="F512" s="523">
        <f>L_CViec!AD475</f>
        <v>0</v>
      </c>
      <c r="G512" s="523">
        <f>L_CViec!AE475</f>
        <v>0</v>
      </c>
      <c r="H512" s="879">
        <f>L_CViec!AF475</f>
        <v>0</v>
      </c>
      <c r="I512" s="879">
        <f>L_CViec!AG475</f>
        <v>0</v>
      </c>
      <c r="J512" s="294">
        <f>L_CViec!AH475</f>
        <v>0</v>
      </c>
      <c r="K512" s="1136">
        <f t="shared" si="63"/>
        <v>0</v>
      </c>
      <c r="L512" s="1136">
        <f t="shared" si="64"/>
        <v>0</v>
      </c>
      <c r="M512" s="1136">
        <f t="shared" si="65"/>
        <v>0</v>
      </c>
      <c r="N512" s="1091">
        <f>$D512*G512*L_CBac!$J$68</f>
        <v>0</v>
      </c>
      <c r="O512" s="1091">
        <f>$D512*H512*L_CBac!$J$68</f>
        <v>0</v>
      </c>
      <c r="P512" s="1091">
        <f>$D512*I512*L_CBac!$J$68</f>
        <v>0</v>
      </c>
      <c r="Q512" s="93">
        <f>$D512*G512*L_CBac!$J$69</f>
        <v>0</v>
      </c>
      <c r="R512" s="93">
        <f>$D512*H512*L_CBac!$J$69</f>
        <v>0</v>
      </c>
      <c r="S512" s="94">
        <f>$D512*I512*L_CBac!$J$69</f>
        <v>0</v>
      </c>
    </row>
    <row r="513" spans="1:19" s="85" customFormat="1">
      <c r="A513" s="523" t="str">
        <f>L_CViec!A476</f>
        <v>22.1</v>
      </c>
      <c r="B513" s="525" t="str">
        <f>L_CViec!B476</f>
        <v>Quét trang A3</v>
      </c>
      <c r="C513" s="523" t="str">
        <f>L_CViec!AB476</f>
        <v>Trang</v>
      </c>
      <c r="D513" s="523">
        <f>L_CViec!AA476</f>
        <v>1</v>
      </c>
      <c r="E513" s="523" t="str">
        <f>L_CViec!AC476</f>
        <v>1KS1</v>
      </c>
      <c r="F513" s="523" t="str">
        <f>L_CViec!AD476</f>
        <v>1-3</v>
      </c>
      <c r="G513" s="523">
        <f>L_CViec!AE476</f>
        <v>1.6E-2</v>
      </c>
      <c r="H513" s="879">
        <f>L_CViec!AF476</f>
        <v>1.6E-2</v>
      </c>
      <c r="I513" s="879">
        <f>L_CViec!AG476</f>
        <v>0.02</v>
      </c>
      <c r="J513" s="294">
        <f>L_CViec!AH476</f>
        <v>260091</v>
      </c>
      <c r="K513" s="1136">
        <f t="shared" si="63"/>
        <v>4161.4560000000001</v>
      </c>
      <c r="L513" s="1136">
        <f t="shared" si="64"/>
        <v>4161.4560000000001</v>
      </c>
      <c r="M513" s="1136">
        <f t="shared" si="65"/>
        <v>5201.82</v>
      </c>
      <c r="N513" s="1090">
        <f>$D513*G513*L_CBac!$J$68</f>
        <v>409.03199999999998</v>
      </c>
      <c r="O513" s="1090">
        <f>$D513*H513*L_CBac!$J$68</f>
        <v>409.03199999999998</v>
      </c>
      <c r="P513" s="1090">
        <f>$D513*I513*L_CBac!$J$68</f>
        <v>511.29</v>
      </c>
      <c r="Q513" s="160">
        <f>$D513*G513*L_CBac!$J$69</f>
        <v>449.23076923076928</v>
      </c>
      <c r="R513" s="160">
        <f>$D513*H513*L_CBac!$J$69</f>
        <v>449.23076923076928</v>
      </c>
      <c r="S513" s="144">
        <f>$D513*I513*L_CBac!$J$69</f>
        <v>561.53846153846155</v>
      </c>
    </row>
    <row r="514" spans="1:19" s="85" customFormat="1">
      <c r="A514" s="523" t="str">
        <f>L_CViec!A477</f>
        <v>22.2</v>
      </c>
      <c r="B514" s="525" t="str">
        <f>L_CViec!B477</f>
        <v>Quét trang A4</v>
      </c>
      <c r="C514" s="523" t="str">
        <f>L_CViec!AB477</f>
        <v>Trang</v>
      </c>
      <c r="D514" s="523">
        <f>L_CViec!AA477</f>
        <v>1</v>
      </c>
      <c r="E514" s="523" t="str">
        <f>L_CViec!AC477</f>
        <v>1KS1</v>
      </c>
      <c r="F514" s="523" t="str">
        <f>L_CViec!AD477</f>
        <v>1-3</v>
      </c>
      <c r="G514" s="523">
        <f>L_CViec!AE477</f>
        <v>8.0000000000000002E-3</v>
      </c>
      <c r="H514" s="879">
        <f>L_CViec!AF477</f>
        <v>8.0000000000000002E-3</v>
      </c>
      <c r="I514" s="879">
        <f>L_CViec!AG477</f>
        <v>0.01</v>
      </c>
      <c r="J514" s="294">
        <f>L_CViec!AH477</f>
        <v>260091</v>
      </c>
      <c r="K514" s="1136">
        <f t="shared" si="63"/>
        <v>2080.7280000000001</v>
      </c>
      <c r="L514" s="1136">
        <f t="shared" si="64"/>
        <v>2080.7280000000001</v>
      </c>
      <c r="M514" s="1136">
        <f t="shared" si="65"/>
        <v>2600.91</v>
      </c>
      <c r="N514" s="1091">
        <f>$D514*G514*L_CBac!$J$68</f>
        <v>204.51599999999999</v>
      </c>
      <c r="O514" s="1091">
        <f>$D514*H514*L_CBac!$J$68</f>
        <v>204.51599999999999</v>
      </c>
      <c r="P514" s="1091">
        <f>$D514*I514*L_CBac!$J$68</f>
        <v>255.64500000000001</v>
      </c>
      <c r="Q514" s="160"/>
      <c r="R514" s="160"/>
      <c r="S514" s="144"/>
    </row>
    <row r="515" spans="1:19" s="85" customFormat="1" ht="25.5">
      <c r="A515" s="523" t="str">
        <f>L_CViec!A478</f>
        <v>23</v>
      </c>
      <c r="B515" s="525" t="str">
        <f>L_CViec!B478</f>
        <v>Xử lý các tệp tin quét thành tệp (File) hồ sơ quét dạng số của thửa đất, lưu trữ dưới khuôn dạng tệp tin PDF</v>
      </c>
      <c r="C515" s="523" t="str">
        <f>L_CViec!AB478</f>
        <v>Trang</v>
      </c>
      <c r="D515" s="523">
        <f>L_CViec!AA478</f>
        <v>1</v>
      </c>
      <c r="E515" s="523" t="str">
        <f>L_CViec!AC478</f>
        <v>1KS1</v>
      </c>
      <c r="F515" s="523" t="str">
        <f>L_CViec!AD478</f>
        <v>1-3</v>
      </c>
      <c r="G515" s="523">
        <f>L_CViec!AE478</f>
        <v>4.0000000000000001E-3</v>
      </c>
      <c r="H515" s="879">
        <f>L_CViec!AF478</f>
        <v>4.0000000000000001E-3</v>
      </c>
      <c r="I515" s="879">
        <f>L_CViec!AG478</f>
        <v>5.0000000000000001E-3</v>
      </c>
      <c r="J515" s="294">
        <f>L_CViec!AH478</f>
        <v>260091</v>
      </c>
      <c r="K515" s="1136">
        <f t="shared" si="63"/>
        <v>1040.364</v>
      </c>
      <c r="L515" s="1136">
        <f t="shared" si="64"/>
        <v>1040.364</v>
      </c>
      <c r="M515" s="1136">
        <f t="shared" si="65"/>
        <v>1300.4549999999999</v>
      </c>
      <c r="N515" s="1090">
        <f>$D515*G515*L_CBac!$J$68</f>
        <v>102.258</v>
      </c>
      <c r="O515" s="1090">
        <f>$D515*H515*L_CBac!$J$68</f>
        <v>102.258</v>
      </c>
      <c r="P515" s="1090">
        <f>$D515*I515*L_CBac!$J$68</f>
        <v>127.82250000000001</v>
      </c>
      <c r="Q515" s="160"/>
      <c r="R515" s="160"/>
      <c r="S515" s="144"/>
    </row>
    <row r="516" spans="1:19" s="85" customFormat="1" ht="25.5">
      <c r="A516" s="523" t="str">
        <f>L_CViec!A479</f>
        <v>24</v>
      </c>
      <c r="B516" s="525" t="str">
        <f>L_CViec!B479</f>
        <v>Tạo liên kết hồ sơ quét dạng số với thửa đất trong cơ sở dữ liệu</v>
      </c>
      <c r="C516" s="523" t="str">
        <f>L_CViec!AB479</f>
        <v>Thửa</v>
      </c>
      <c r="D516" s="523">
        <f>L_CViec!AA479</f>
        <v>1</v>
      </c>
      <c r="E516" s="523" t="str">
        <f>L_CViec!AC479</f>
        <v>1KS1</v>
      </c>
      <c r="F516" s="523" t="str">
        <f>L_CViec!AD479</f>
        <v>1-3</v>
      </c>
      <c r="G516" s="523">
        <f>L_CViec!AE479</f>
        <v>0.01</v>
      </c>
      <c r="H516" s="879">
        <f>L_CViec!AF479</f>
        <v>0.01</v>
      </c>
      <c r="I516" s="879">
        <f>L_CViec!AG479</f>
        <v>0.01</v>
      </c>
      <c r="J516" s="294">
        <f>L_CViec!AH479</f>
        <v>260091</v>
      </c>
      <c r="K516" s="1136">
        <f t="shared" si="63"/>
        <v>2600.91</v>
      </c>
      <c r="L516" s="1136">
        <f t="shared" si="64"/>
        <v>2600.91</v>
      </c>
      <c r="M516" s="1136">
        <f t="shared" si="65"/>
        <v>2600.91</v>
      </c>
      <c r="N516" s="1091">
        <f>$D516*G516*L_CBac!$J$68</f>
        <v>255.64500000000001</v>
      </c>
      <c r="O516" s="1091">
        <f>$D516*H516*L_CBac!$J$68</f>
        <v>255.64500000000001</v>
      </c>
      <c r="P516" s="1091">
        <f>$D516*I516*L_CBac!$J$68</f>
        <v>255.64500000000001</v>
      </c>
      <c r="Q516" s="160"/>
      <c r="R516" s="160"/>
      <c r="S516" s="144"/>
    </row>
    <row r="517" spans="1:19" s="85" customFormat="1" ht="63.75">
      <c r="A517" s="523" t="str">
        <f>L_CViec!A480</f>
        <v>25</v>
      </c>
      <c r="B517" s="525" t="str">
        <f>L_CViec!B480</f>
        <v>Chuyển Giấy chứng nhận đến Bộ phận một cửa để trao cho người sử dụng đất hoặc chuyển Giấy chứng nhận cho người sử dụng đất thông qua dịch vụ bưu chính công ích hoặc Văn phòng đăng ký đất đai nhận lại GCN cũ đang thế chấp từ tổ chức tín dụng và trao GCN mới</v>
      </c>
      <c r="C517" s="523" t="str">
        <f>L_CViec!AB480</f>
        <v>Hồ sơ</v>
      </c>
      <c r="D517" s="523">
        <f>L_CViec!AA480</f>
        <v>1</v>
      </c>
      <c r="E517" s="523" t="str">
        <f>L_CViec!AC480</f>
        <v>1KS2</v>
      </c>
      <c r="F517" s="523" t="str">
        <f>L_CViec!AD480</f>
        <v>1-3</v>
      </c>
      <c r="G517" s="523">
        <f>L_CViec!AE480</f>
        <v>0.05</v>
      </c>
      <c r="H517" s="879">
        <f>L_CViec!AF480</f>
        <v>0.05</v>
      </c>
      <c r="I517" s="879">
        <f>L_CViec!AG480</f>
        <v>6.5000000000000002E-2</v>
      </c>
      <c r="J517" s="294">
        <f>L_CViec!AH480</f>
        <v>296770.5</v>
      </c>
      <c r="K517" s="1136">
        <f t="shared" si="63"/>
        <v>14838.525000000001</v>
      </c>
      <c r="L517" s="1136">
        <f t="shared" si="64"/>
        <v>14838.525000000001</v>
      </c>
      <c r="M517" s="1136">
        <f t="shared" si="65"/>
        <v>19290.0825</v>
      </c>
      <c r="N517" s="1090">
        <f>$D517*G517*L_CBac!$J$68</f>
        <v>1278.2250000000001</v>
      </c>
      <c r="O517" s="1090">
        <f>$D517*H517*L_CBac!$J$68</f>
        <v>1278.2250000000001</v>
      </c>
      <c r="P517" s="1090">
        <f>$D517*I517*L_CBac!$J$68</f>
        <v>1661.6925000000001</v>
      </c>
      <c r="Q517" s="160"/>
      <c r="R517" s="160"/>
      <c r="S517" s="144"/>
    </row>
    <row r="518" spans="1:19" s="85" customFormat="1" ht="31.5" customHeight="1">
      <c r="A518" s="520" t="str">
        <f>L_CViec!A481</f>
        <v>VIII.3</v>
      </c>
      <c r="B518" s="993" t="str">
        <f>L_CViec!B481</f>
        <v>CÁC NỘI DUNG THỰC HIỆN TẠI ĐỊA BÀN XÃ, PHƯỜNG,ĐẶC KHU</v>
      </c>
      <c r="C518" s="993">
        <f>L_CViec!AB481</f>
        <v>0</v>
      </c>
      <c r="D518" s="993">
        <f>L_CViec!AA481</f>
        <v>0</v>
      </c>
      <c r="E518" s="993">
        <f>L_CViec!AC481</f>
        <v>0</v>
      </c>
      <c r="F518" s="993">
        <f>L_CViec!AD481</f>
        <v>0</v>
      </c>
      <c r="G518" s="993">
        <f>L_CViec!AE481</f>
        <v>0</v>
      </c>
      <c r="H518" s="1104">
        <f>L_CViec!AF481</f>
        <v>0</v>
      </c>
      <c r="I518" s="1104">
        <f>L_CViec!AG481</f>
        <v>0</v>
      </c>
      <c r="J518" s="1093">
        <f>L_CViec!AH481</f>
        <v>0</v>
      </c>
      <c r="K518" s="1093">
        <f>K521+K520+K519</f>
        <v>75759.840000000011</v>
      </c>
      <c r="L518" s="1093">
        <f t="shared" ref="L518:S518" si="66">L521+L520+L519</f>
        <v>75759.840000000011</v>
      </c>
      <c r="M518" s="1093">
        <f t="shared" si="66"/>
        <v>104423.20199999999</v>
      </c>
      <c r="N518" s="1091">
        <f t="shared" si="66"/>
        <v>6646.77</v>
      </c>
      <c r="O518" s="1091">
        <f t="shared" si="66"/>
        <v>6646.77</v>
      </c>
      <c r="P518" s="1091">
        <f t="shared" si="66"/>
        <v>9152.0910000000003</v>
      </c>
      <c r="Q518" s="158">
        <f t="shared" si="66"/>
        <v>7300</v>
      </c>
      <c r="R518" s="158">
        <f t="shared" si="66"/>
        <v>7300</v>
      </c>
      <c r="S518" s="158">
        <f t="shared" si="66"/>
        <v>10051.538461538463</v>
      </c>
    </row>
    <row r="519" spans="1:19" s="471" customFormat="1" ht="25.5">
      <c r="A519" s="520">
        <f>L_CViec!A482</f>
        <v>1</v>
      </c>
      <c r="B519" s="522" t="str">
        <f>L_CViec!B482</f>
        <v>Địa bàn cấp xã (đối với những nơi chưa xây dựng CSDL) nhận thông báo, cập nhật HSĐC</v>
      </c>
      <c r="C519" s="910" t="str">
        <f>L_CViec!AB482</f>
        <v>Hồ sơ</v>
      </c>
      <c r="D519" s="906">
        <v>1</v>
      </c>
      <c r="E519" s="523" t="str">
        <f>L_CViec!AC482</f>
        <v>1KS2</v>
      </c>
      <c r="F519" s="523" t="str">
        <f>L_CViec!AD482</f>
        <v>1-3</v>
      </c>
      <c r="G519" s="523">
        <f>L_CViec!AE482</f>
        <v>0.1</v>
      </c>
      <c r="H519" s="879">
        <f>L_CViec!AF482</f>
        <v>0.1</v>
      </c>
      <c r="I519" s="879">
        <f>L_CViec!AG482</f>
        <v>0.13</v>
      </c>
      <c r="J519" s="294">
        <f>L_CViec!AH482</f>
        <v>296770.5</v>
      </c>
      <c r="K519" s="903">
        <f t="shared" ref="K519:M521" si="67">G519*$J519</f>
        <v>29677.050000000003</v>
      </c>
      <c r="L519" s="903">
        <f t="shared" si="67"/>
        <v>29677.050000000003</v>
      </c>
      <c r="M519" s="903">
        <f t="shared" si="67"/>
        <v>38580.165000000001</v>
      </c>
      <c r="N519" s="1090">
        <f>$D519*G519*L_CBac!$J$68</f>
        <v>2556.4500000000003</v>
      </c>
      <c r="O519" s="1090">
        <f>$D519*H519*L_CBac!$J$68</f>
        <v>2556.4500000000003</v>
      </c>
      <c r="P519" s="1090">
        <f>$D519*I519*L_CBac!$J$68</f>
        <v>3323.3850000000002</v>
      </c>
      <c r="Q519" s="907">
        <f>$D519*G519*L_CBac!$J$69</f>
        <v>2807.6923076923081</v>
      </c>
      <c r="R519" s="907">
        <f>$D519*H519*L_CBac!$J$69</f>
        <v>2807.6923076923081</v>
      </c>
      <c r="S519" s="470">
        <f>$D519*I519*L_CBac!$J$69</f>
        <v>3650.0000000000005</v>
      </c>
    </row>
    <row r="520" spans="1:19" s="471" customFormat="1" ht="38.25">
      <c r="A520" s="520">
        <f>L_CViec!A483</f>
        <v>2</v>
      </c>
      <c r="B520" s="522" t="str">
        <f>L_CViec!B483</f>
        <v>Niêm yết tại trụ sở Ủy ban nhân dân cấp xã nơi có đất về việc làm thủ tục cấp Giấy chứng nhận cho người nhận chuyển quyền</v>
      </c>
      <c r="C520" s="910" t="str">
        <f>L_CViec!AB483</f>
        <v>Hồ sơ</v>
      </c>
      <c r="D520" s="906">
        <v>1</v>
      </c>
      <c r="E520" s="523" t="str">
        <f>L_CViec!AC483</f>
        <v>1KTV4</v>
      </c>
      <c r="F520" s="523" t="str">
        <f>L_CViec!AD483</f>
        <v>1-3</v>
      </c>
      <c r="G520" s="523">
        <f>L_CViec!AE483</f>
        <v>0.06</v>
      </c>
      <c r="H520" s="879">
        <f>L_CViec!AF483</f>
        <v>0.06</v>
      </c>
      <c r="I520" s="879">
        <f>L_CViec!AG483</f>
        <v>7.8E-2</v>
      </c>
      <c r="J520" s="294">
        <f>L_CViec!AH483</f>
        <v>273429.00000000006</v>
      </c>
      <c r="K520" s="903">
        <f t="shared" si="67"/>
        <v>16405.740000000002</v>
      </c>
      <c r="L520" s="903">
        <f t="shared" si="67"/>
        <v>16405.740000000002</v>
      </c>
      <c r="M520" s="903">
        <f t="shared" si="67"/>
        <v>21327.462000000003</v>
      </c>
      <c r="N520" s="1091">
        <f>$D520*G520*L_CBac!$J$68</f>
        <v>1533.87</v>
      </c>
      <c r="O520" s="1091">
        <f>$D520*H520*L_CBac!$J$68</f>
        <v>1533.87</v>
      </c>
      <c r="P520" s="1091">
        <f>$D520*I520*L_CBac!$J$68</f>
        <v>1994.0309999999999</v>
      </c>
      <c r="Q520" s="907">
        <f>$D520*G520*L_CBac!$J$69</f>
        <v>1684.6153846153845</v>
      </c>
      <c r="R520" s="907">
        <f>$D520*H520*L_CBac!$J$69</f>
        <v>1684.6153846153845</v>
      </c>
      <c r="S520" s="470">
        <f>$D520*I520*L_CBac!$J$69</f>
        <v>2190</v>
      </c>
    </row>
    <row r="521" spans="1:19" s="85" customFormat="1" ht="38.25">
      <c r="A521" s="520">
        <f>L_CViec!A484</f>
        <v>3</v>
      </c>
      <c r="B521" s="522" t="str">
        <f>L_CViec!B484</f>
        <v>Chuyển Văn phòng đăng ký đất đai, Chi nhánh Văn phòng đăng ký đất đai văn bản về xác nhận về tình trạng sạt lở tự nhiên hoặc văn bản về việc tặng cho quyền sử dụng đất</v>
      </c>
      <c r="C521" s="910" t="str">
        <f>L_CViec!AB484</f>
        <v>Hồ sơ</v>
      </c>
      <c r="D521" s="906">
        <v>1</v>
      </c>
      <c r="E521" s="523" t="str">
        <f>L_CViec!AC484</f>
        <v>1KS2</v>
      </c>
      <c r="F521" s="523" t="str">
        <f>L_CViec!AD484</f>
        <v>1-3</v>
      </c>
      <c r="G521" s="523">
        <f>L_CViec!AE484</f>
        <v>0.1</v>
      </c>
      <c r="H521" s="879">
        <f>L_CViec!AF484</f>
        <v>0.1</v>
      </c>
      <c r="I521" s="879">
        <f>L_CViec!AG484</f>
        <v>0.15</v>
      </c>
      <c r="J521" s="294">
        <f>L_CViec!AH484</f>
        <v>296770.5</v>
      </c>
      <c r="K521" s="903">
        <f t="shared" si="67"/>
        <v>29677.050000000003</v>
      </c>
      <c r="L521" s="903">
        <f t="shared" si="67"/>
        <v>29677.050000000003</v>
      </c>
      <c r="M521" s="903">
        <f t="shared" si="67"/>
        <v>44515.574999999997</v>
      </c>
      <c r="N521" s="1090">
        <f>$D521*G521*L_CBac!$J$68</f>
        <v>2556.4500000000003</v>
      </c>
      <c r="O521" s="1090">
        <f>$D521*H521*L_CBac!$J$68</f>
        <v>2556.4500000000003</v>
      </c>
      <c r="P521" s="1090">
        <f>$D521*I521*L_CBac!$J$68</f>
        <v>3834.6749999999997</v>
      </c>
      <c r="Q521" s="160">
        <f>$D521*G521*L_CBac!$J$69</f>
        <v>2807.6923076923081</v>
      </c>
      <c r="R521" s="160">
        <f>$D521*H521*L_CBac!$J$69</f>
        <v>2807.6923076923081</v>
      </c>
      <c r="S521" s="144">
        <f>$D521*I521*L_CBac!$J$69</f>
        <v>4211.5384615384619</v>
      </c>
    </row>
    <row r="522" spans="1:19" s="85" customFormat="1" ht="18.75" customHeight="1">
      <c r="A522" s="83" t="str">
        <f>L_CViec!A485</f>
        <v>VIII.4</v>
      </c>
      <c r="B522" s="89" t="str">
        <f>L_CViec!B485</f>
        <v>GHI CHÚ</v>
      </c>
      <c r="C522" s="89">
        <f>L_CViec!AB485</f>
        <v>0</v>
      </c>
      <c r="D522" s="89"/>
      <c r="E522" s="89">
        <f>L_CViec!AC485</f>
        <v>0</v>
      </c>
      <c r="F522" s="89">
        <f>L_CViec!AD485</f>
        <v>0</v>
      </c>
      <c r="G522" s="89">
        <f>L_CViec!AE485</f>
        <v>0</v>
      </c>
      <c r="H522" s="1086">
        <f>L_CViec!AF485</f>
        <v>0</v>
      </c>
      <c r="I522" s="1086">
        <f>L_CViec!AG485</f>
        <v>0</v>
      </c>
      <c r="J522" s="1086">
        <f>L_CViec!AH485</f>
        <v>0</v>
      </c>
      <c r="K522" s="1086"/>
      <c r="L522" s="1086"/>
      <c r="M522" s="1086"/>
      <c r="N522" s="1090"/>
      <c r="O522" s="1090"/>
      <c r="P522" s="1090"/>
      <c r="Q522" s="158"/>
      <c r="R522" s="158"/>
      <c r="S522" s="149"/>
    </row>
    <row r="523" spans="1:19" s="85" customFormat="1" ht="28.9" customHeight="1">
      <c r="A523" s="84" t="str">
        <f>L_CViec!A486</f>
        <v>1</v>
      </c>
      <c r="B523" s="1457" t="str">
        <f>L_CViec!B486</f>
        <v>Cột “ĐM Đất” áp dụng cho trường hợp đăng ký, cấp GCN đối với đất; cột “ĐM TS” áp dụng cho trường hợp đăng ký, cấp GCN đối với tài sản; cột “ĐM Đất + TS” áp dụng đối với trường hợp đăng ký, cấp GCN đối với cả đất và tài sản gắn liền với đất</v>
      </c>
      <c r="C523" s="1457"/>
      <c r="D523" s="1457"/>
      <c r="E523" s="1457"/>
      <c r="F523" s="1457"/>
      <c r="G523" s="1457"/>
      <c r="H523" s="1457"/>
      <c r="I523" s="1457"/>
      <c r="J523" s="1457"/>
      <c r="K523" s="1457"/>
      <c r="L523" s="1457"/>
      <c r="M523" s="1457"/>
      <c r="N523" s="1091"/>
      <c r="O523" s="1091"/>
      <c r="P523" s="1091"/>
      <c r="Q523" s="152"/>
      <c r="R523" s="152"/>
      <c r="S523" s="96"/>
    </row>
    <row r="524" spans="1:19" s="85" customFormat="1" ht="28.9" customHeight="1" thickBot="1">
      <c r="A524" s="84" t="str">
        <f>L_CViec!A487</f>
        <v>2</v>
      </c>
      <c r="B524" s="1457" t="str">
        <f>L_CViec!B487</f>
        <v>Các trường hợp đăng ký biến động đất đai mà thực hiện cấp mới GCN hoặc xác nhận thay đổi trên Giấy chứng nhận thì đều áp dụng định mức của Bảng này</v>
      </c>
      <c r="C524" s="1457"/>
      <c r="D524" s="1457"/>
      <c r="E524" s="1457"/>
      <c r="F524" s="1457"/>
      <c r="G524" s="1457"/>
      <c r="H524" s="1457"/>
      <c r="I524" s="1457"/>
      <c r="J524" s="1457"/>
      <c r="K524" s="1457"/>
      <c r="L524" s="1457"/>
      <c r="M524" s="1457"/>
      <c r="N524" s="1090"/>
      <c r="O524" s="1090"/>
      <c r="P524" s="1090"/>
      <c r="Q524" s="171"/>
      <c r="R524" s="171"/>
      <c r="S524" s="98"/>
    </row>
    <row r="525" spans="1:19" s="37" customFormat="1" ht="13.5" thickBot="1">
      <c r="A525" s="32" t="s">
        <v>346</v>
      </c>
      <c r="B525" s="33">
        <f>L_CViec!B722</f>
        <v>0</v>
      </c>
      <c r="C525" s="34">
        <f>L_CViec!AB722</f>
        <v>0</v>
      </c>
      <c r="D525" s="34"/>
      <c r="E525" s="34">
        <f>L_CViec!AC722</f>
        <v>0</v>
      </c>
      <c r="F525" s="34">
        <f>L_CViec!AD722</f>
        <v>0</v>
      </c>
      <c r="G525" s="35">
        <f>L_CViec!AE722</f>
        <v>0</v>
      </c>
      <c r="H525" s="36">
        <f>L_CViec!AF722</f>
        <v>0</v>
      </c>
      <c r="I525" s="36"/>
      <c r="J525" s="1091"/>
      <c r="K525" s="1091"/>
      <c r="L525" s="1137">
        <f>L_CViec!AA722</f>
        <v>0</v>
      </c>
      <c r="M525" s="1137"/>
      <c r="N525" s="1137"/>
      <c r="O525" s="1137"/>
    </row>
    <row r="526" spans="1:19" s="31" customFormat="1">
      <c r="A526" s="1458" t="s">
        <v>24</v>
      </c>
      <c r="B526" s="1096" t="s">
        <v>46</v>
      </c>
      <c r="C526" s="1460" t="s">
        <v>39</v>
      </c>
      <c r="D526" s="1097"/>
      <c r="E526" s="1460" t="s">
        <v>17</v>
      </c>
      <c r="F526" s="1097" t="s">
        <v>98</v>
      </c>
      <c r="G526" s="1145" t="s">
        <v>41</v>
      </c>
      <c r="H526" s="1462" t="s">
        <v>351</v>
      </c>
      <c r="I526" s="1464" t="s">
        <v>36</v>
      </c>
      <c r="J526" s="1090" t="s">
        <v>27</v>
      </c>
      <c r="K526" s="1090" t="s">
        <v>99</v>
      </c>
      <c r="L526" s="1138"/>
      <c r="M526" s="1138"/>
      <c r="N526" s="1138"/>
      <c r="O526" s="1138"/>
    </row>
    <row r="527" spans="1:19" s="31" customFormat="1">
      <c r="A527" s="1459"/>
      <c r="B527" s="1098"/>
      <c r="C527" s="1461"/>
      <c r="D527" s="1099"/>
      <c r="E527" s="1461"/>
      <c r="F527" s="1099" t="s">
        <v>25</v>
      </c>
      <c r="G527" s="1146" t="s">
        <v>40</v>
      </c>
      <c r="H527" s="1463"/>
      <c r="I527" s="1463"/>
      <c r="J527" s="1091">
        <v>0.1</v>
      </c>
      <c r="K527" s="1091" t="s">
        <v>100</v>
      </c>
      <c r="L527" s="1138"/>
      <c r="M527" s="1138"/>
      <c r="N527" s="1138"/>
      <c r="O527" s="1138"/>
    </row>
    <row r="528" spans="1:19" s="86" customFormat="1">
      <c r="A528" s="1100" t="str">
        <f>L_CViec!A489</f>
        <v>XI</v>
      </c>
      <c r="B528" s="269" t="str">
        <f>L_CViec!B489</f>
        <v>TRÍCH LỤC HỒ SƠ ĐỊA CHÍNH</v>
      </c>
      <c r="C528" s="269">
        <f>L_CViec!AB489</f>
        <v>0</v>
      </c>
      <c r="D528" s="269"/>
      <c r="E528" s="269">
        <f>L_CViec!AC489</f>
        <v>0</v>
      </c>
      <c r="F528" s="269">
        <f>L_CViec!AD489</f>
        <v>0</v>
      </c>
      <c r="G528" s="269">
        <f>L_CViec!AE489</f>
        <v>0</v>
      </c>
      <c r="H528" s="271"/>
      <c r="I528" s="271">
        <f>I529+I531+I534</f>
        <v>59354.100000000006</v>
      </c>
      <c r="J528" s="1090">
        <f>J529+J531+J534</f>
        <v>5112.9000000000005</v>
      </c>
      <c r="K528" s="1090">
        <f>K529+K531+K534</f>
        <v>5615.3846153846162</v>
      </c>
      <c r="L528" s="1139">
        <f>L_CViec!AA489</f>
        <v>0</v>
      </c>
      <c r="M528" s="1140"/>
      <c r="N528" s="1140"/>
      <c r="O528" s="1140"/>
    </row>
    <row r="529" spans="1:15" s="85" customFormat="1">
      <c r="A529" s="122" t="str">
        <f>L_CViec!A490</f>
        <v>1</v>
      </c>
      <c r="B529" s="80" t="str">
        <f>L_CViec!B490</f>
        <v>Nhận, trả hồ sơ, thu phí, lệ phí</v>
      </c>
      <c r="C529" s="78" t="str">
        <f>L_CViec!AB490</f>
        <v>Hồ sơ</v>
      </c>
      <c r="D529" s="78">
        <f>L_CViec!AA490</f>
        <v>1</v>
      </c>
      <c r="E529" s="78" t="str">
        <f>L_CViec!AC490</f>
        <v>1KS2</v>
      </c>
      <c r="F529" s="78">
        <f>L_CViec!AD490</f>
        <v>0</v>
      </c>
      <c r="G529" s="79" t="str">
        <f>L_CViec!AE490</f>
        <v>0.100</v>
      </c>
      <c r="H529" s="95">
        <f>L_CViec!AF490</f>
        <v>296770.5</v>
      </c>
      <c r="I529" s="95">
        <f>G529*H529</f>
        <v>29677.050000000003</v>
      </c>
      <c r="J529" s="1091">
        <f>$D529*$G529*L_CBac!$J$68</f>
        <v>2556.4500000000003</v>
      </c>
      <c r="K529" s="1091">
        <f>$D529*$G529*L_CBac!$J$69</f>
        <v>2807.6923076923081</v>
      </c>
      <c r="L529" s="1141">
        <f>L_CViec!AA490</f>
        <v>1</v>
      </c>
      <c r="M529" s="1142"/>
      <c r="N529" s="1142"/>
      <c r="O529" s="1142"/>
    </row>
    <row r="530" spans="1:15" s="85" customFormat="1">
      <c r="A530" s="122" t="str">
        <f>L_CViec!A491</f>
        <v>2</v>
      </c>
      <c r="B530" s="80" t="str">
        <f>L_CViec!B491</f>
        <v>Trích lục thửa đất</v>
      </c>
      <c r="C530" s="78">
        <f>L_CViec!AB491</f>
        <v>0</v>
      </c>
      <c r="D530" s="78">
        <f>L_CViec!AA491</f>
        <v>0</v>
      </c>
      <c r="E530" s="78">
        <f>L_CViec!AC491</f>
        <v>0</v>
      </c>
      <c r="F530" s="78">
        <f>L_CViec!AD491</f>
        <v>0</v>
      </c>
      <c r="G530" s="78">
        <f>L_CViec!AE491</f>
        <v>0</v>
      </c>
      <c r="H530" s="95">
        <f>L_CViec!AF491</f>
        <v>0</v>
      </c>
      <c r="I530" s="95"/>
      <c r="J530" s="1090"/>
      <c r="K530" s="1090"/>
      <c r="L530" s="1141">
        <f>L_CViec!AA491</f>
        <v>0</v>
      </c>
      <c r="M530" s="1142"/>
      <c r="N530" s="1142"/>
      <c r="O530" s="1142"/>
    </row>
    <row r="531" spans="1:15" s="111" customFormat="1">
      <c r="A531" s="125" t="str">
        <f>L_CViec!A492</f>
        <v>2.1</v>
      </c>
      <c r="B531" s="124" t="str">
        <f>L_CViec!B492</f>
        <v>Trích lục từ hồ sơ địa chính số</v>
      </c>
      <c r="C531" s="78" t="str">
        <f>L_CViec!AB492</f>
        <v>Hồ sơ</v>
      </c>
      <c r="D531" s="78">
        <f>L_CViec!AA492</f>
        <v>1</v>
      </c>
      <c r="E531" s="78" t="str">
        <f>L_CViec!AC492</f>
        <v>1KS2</v>
      </c>
      <c r="F531" s="78">
        <f>L_CViec!AD492</f>
        <v>0</v>
      </c>
      <c r="G531" s="78" t="str">
        <f>L_CViec!AE492</f>
        <v>0.050</v>
      </c>
      <c r="H531" s="95">
        <f>L_CViec!AF492</f>
        <v>296770.5</v>
      </c>
      <c r="I531" s="95">
        <f>G531*H531</f>
        <v>14838.525000000001</v>
      </c>
      <c r="J531" s="1091">
        <f>$D531*$G531*L_CBac!$J$68</f>
        <v>1278.2250000000001</v>
      </c>
      <c r="K531" s="1091">
        <f>$D531*$G531*L_CBac!$J$69</f>
        <v>1403.846153846154</v>
      </c>
      <c r="L531" s="1141">
        <f>L_CViec!AA492</f>
        <v>1</v>
      </c>
      <c r="M531" s="1143"/>
      <c r="N531" s="1143"/>
      <c r="O531" s="1143"/>
    </row>
    <row r="532" spans="1:15" s="111" customFormat="1">
      <c r="A532" s="125" t="str">
        <f>L_CViec!A493</f>
        <v>2.2</v>
      </c>
      <c r="B532" s="124" t="str">
        <f>L_CViec!B493</f>
        <v>Trích sao từ hồ sơ địa chính giấy</v>
      </c>
      <c r="C532" s="78" t="str">
        <f>L_CViec!AB493</f>
        <v>Hồ sơ</v>
      </c>
      <c r="D532" s="78">
        <f>L_CViec!AA493</f>
        <v>1</v>
      </c>
      <c r="E532" s="78" t="str">
        <f>L_CViec!AC493</f>
        <v>1KS2</v>
      </c>
      <c r="F532" s="78">
        <f>L_CViec!AD493</f>
        <v>0</v>
      </c>
      <c r="G532" s="78" t="str">
        <f>L_CViec!AE493</f>
        <v>0.100</v>
      </c>
      <c r="H532" s="95">
        <f>L_CViec!AF493</f>
        <v>296770.5</v>
      </c>
      <c r="I532" s="95">
        <f>G532*H532</f>
        <v>29677.050000000003</v>
      </c>
      <c r="J532" s="1090">
        <f>$D532*$G532*L_CBac!$J$68</f>
        <v>2556.4500000000003</v>
      </c>
      <c r="K532" s="1090">
        <f>$D532*$G532*L_CBac!$J$69</f>
        <v>2807.6923076923081</v>
      </c>
      <c r="L532" s="1141">
        <f>L_CViec!AA493</f>
        <v>1</v>
      </c>
      <c r="M532" s="1143"/>
      <c r="N532" s="1143"/>
      <c r="O532" s="1143"/>
    </row>
    <row r="533" spans="1:15" s="85" customFormat="1">
      <c r="A533" s="122" t="str">
        <f>L_CViec!A494</f>
        <v>3</v>
      </c>
      <c r="B533" s="80" t="str">
        <f>L_CViec!B494</f>
        <v>Trích sao thông tin địa chính</v>
      </c>
      <c r="C533" s="78">
        <f>L_CViec!AB494</f>
        <v>0</v>
      </c>
      <c r="D533" s="78">
        <f>L_CViec!AA494</f>
        <v>0</v>
      </c>
      <c r="E533" s="78">
        <f>L_CViec!AC494</f>
        <v>0</v>
      </c>
      <c r="F533" s="78">
        <f>L_CViec!AD494</f>
        <v>0</v>
      </c>
      <c r="G533" s="78">
        <f>L_CViec!AE494</f>
        <v>0</v>
      </c>
      <c r="H533" s="95">
        <f>L_CViec!AF494</f>
        <v>0</v>
      </c>
      <c r="I533" s="95"/>
      <c r="J533" s="1091"/>
      <c r="K533" s="1091"/>
      <c r="L533" s="1141">
        <f>L_CViec!AA494</f>
        <v>0</v>
      </c>
      <c r="M533" s="1142"/>
      <c r="N533" s="1142"/>
      <c r="O533" s="1142"/>
    </row>
    <row r="534" spans="1:15" s="111" customFormat="1">
      <c r="A534" s="125" t="str">
        <f>L_CViec!A495</f>
        <v>3.1</v>
      </c>
      <c r="B534" s="124" t="str">
        <f>L_CViec!B495</f>
        <v>Trích sao từ hồ sơ địa chính số</v>
      </c>
      <c r="C534" s="78" t="str">
        <f>L_CViec!AB495</f>
        <v>Hồ sơ</v>
      </c>
      <c r="D534" s="78">
        <f>L_CViec!AA495</f>
        <v>1</v>
      </c>
      <c r="E534" s="78" t="str">
        <f>L_CViec!AC495</f>
        <v>1KS2</v>
      </c>
      <c r="F534" s="78">
        <f>L_CViec!AD495</f>
        <v>0</v>
      </c>
      <c r="G534" s="78" t="str">
        <f>L_CViec!AE495</f>
        <v>0.050</v>
      </c>
      <c r="H534" s="95">
        <f>L_CViec!AF495</f>
        <v>296770.5</v>
      </c>
      <c r="I534" s="95">
        <f>G534*H534</f>
        <v>14838.525000000001</v>
      </c>
      <c r="J534" s="1090">
        <f>$D534*$G534*L_CBac!$J$68</f>
        <v>1278.2250000000001</v>
      </c>
      <c r="K534" s="1090">
        <f>$D534*$G534*L_CBac!$J$69</f>
        <v>1403.846153846154</v>
      </c>
      <c r="L534" s="1141">
        <f>L_CViec!AA495</f>
        <v>1</v>
      </c>
      <c r="M534" s="1143"/>
      <c r="N534" s="1143"/>
      <c r="O534" s="1143"/>
    </row>
    <row r="535" spans="1:15" s="111" customFormat="1">
      <c r="A535" s="178" t="str">
        <f>L_CViec!A496</f>
        <v>3.2</v>
      </c>
      <c r="B535" s="179" t="str">
        <f>L_CViec!B496</f>
        <v>Trích sao từ hồ sơ địa chính giấy</v>
      </c>
      <c r="C535" s="102" t="str">
        <f>L_CViec!AB496</f>
        <v>Hồ sơ</v>
      </c>
      <c r="D535" s="102">
        <f>L_CViec!AA496</f>
        <v>1</v>
      </c>
      <c r="E535" s="102" t="str">
        <f>L_CViec!AC496</f>
        <v>1KS2</v>
      </c>
      <c r="F535" s="102">
        <f>L_CViec!AD496</f>
        <v>0</v>
      </c>
      <c r="G535" s="78" t="str">
        <f>L_CViec!AE496</f>
        <v>0.100</v>
      </c>
      <c r="H535" s="95">
        <f>L_CViec!AF496</f>
        <v>296770.5</v>
      </c>
      <c r="I535" s="143">
        <f>G535*H535</f>
        <v>29677.050000000003</v>
      </c>
      <c r="J535" s="1091">
        <f>$D535*$G535*L_CBac!$J$68</f>
        <v>2556.4500000000003</v>
      </c>
      <c r="K535" s="1091">
        <f>$D535*$G535*L_CBac!$J$69</f>
        <v>2807.6923076923081</v>
      </c>
      <c r="L535" s="1141">
        <f>L_CViec!AA496</f>
        <v>1</v>
      </c>
      <c r="M535" s="1143"/>
      <c r="N535" s="1143"/>
      <c r="O535" s="1143"/>
    </row>
    <row r="536" spans="1:15" s="85" customFormat="1">
      <c r="A536" s="150">
        <f>L_CViec!A497</f>
        <v>0</v>
      </c>
      <c r="B536" s="177" t="str">
        <f>L_CViec!B497</f>
        <v>Ghi chú:</v>
      </c>
      <c r="C536" s="177">
        <f>L_CViec!AB497</f>
        <v>0</v>
      </c>
      <c r="D536" s="177"/>
      <c r="E536" s="177">
        <f>L_CViec!AC497</f>
        <v>0</v>
      </c>
      <c r="F536" s="177">
        <f>L_CViec!AD497</f>
        <v>0</v>
      </c>
      <c r="G536" s="151">
        <f>L_CViec!AE497</f>
        <v>0</v>
      </c>
      <c r="H536" s="91">
        <f>L_CViec!AF497</f>
        <v>0</v>
      </c>
      <c r="I536" s="91"/>
      <c r="J536" s="1090"/>
      <c r="K536" s="1090"/>
      <c r="L536" s="1144">
        <f>L_CViec!AA497</f>
        <v>0</v>
      </c>
      <c r="M536" s="1142"/>
      <c r="N536" s="1142"/>
      <c r="O536" s="1142"/>
    </row>
    <row r="537" spans="1:15" s="85" customFormat="1" ht="25.5">
      <c r="A537" s="122">
        <v>1</v>
      </c>
      <c r="B537" s="80" t="str">
        <f>L_CViec!B498</f>
        <v>Trường hợp trích lục hồ sơ cho 01 khu đất (gồm nhiều thửa) mức áp dụng như sau:</v>
      </c>
      <c r="C537" s="80">
        <f>L_CViec!AB498</f>
        <v>0</v>
      </c>
      <c r="D537" s="80"/>
      <c r="E537" s="80">
        <f>L_CViec!AC498</f>
        <v>0</v>
      </c>
      <c r="F537" s="80">
        <f>L_CViec!AD498</f>
        <v>0</v>
      </c>
      <c r="G537" s="78">
        <f>L_CViec!AE498</f>
        <v>0</v>
      </c>
      <c r="H537" s="95">
        <f>L_CViec!AF498</f>
        <v>0</v>
      </c>
      <c r="I537" s="95"/>
      <c r="J537" s="1091"/>
      <c r="K537" s="1091"/>
      <c r="L537" s="1144">
        <f>L_CViec!AA498</f>
        <v>0</v>
      </c>
      <c r="M537" s="1142"/>
      <c r="N537" s="1142"/>
      <c r="O537" s="1142"/>
    </row>
    <row r="538" spans="1:15" s="85" customFormat="1" ht="25.5">
      <c r="A538" s="122"/>
      <c r="B538" s="80" t="str">
        <f>L_CViec!B499</f>
        <v>- Dưới 05 thửa: Mức cho một thửa tính bằng 0,80 mức quy định tại Bảng 14;</v>
      </c>
      <c r="C538" s="80">
        <f>L_CViec!AB499</f>
        <v>0</v>
      </c>
      <c r="D538" s="80"/>
      <c r="E538" s="80">
        <f>L_CViec!AC499</f>
        <v>0</v>
      </c>
      <c r="F538" s="80">
        <f>L_CViec!AD499</f>
        <v>0</v>
      </c>
      <c r="G538" s="78">
        <f>L_CViec!AE499</f>
        <v>0.8</v>
      </c>
      <c r="H538" s="95">
        <f>L_CViec!AF499</f>
        <v>0</v>
      </c>
      <c r="I538" s="95">
        <f t="shared" ref="I538:K540" si="68">$G538*I$528</f>
        <v>47483.280000000006</v>
      </c>
      <c r="J538" s="1090">
        <f t="shared" si="68"/>
        <v>4090.3200000000006</v>
      </c>
      <c r="K538" s="1090">
        <f t="shared" si="68"/>
        <v>4492.3076923076933</v>
      </c>
      <c r="L538" s="1144">
        <f>L_CViec!AA499</f>
        <v>0</v>
      </c>
      <c r="M538" s="1142"/>
      <c r="N538" s="1142"/>
      <c r="O538" s="1142"/>
    </row>
    <row r="539" spans="1:15" s="85" customFormat="1" ht="25.5">
      <c r="A539" s="122"/>
      <c r="B539" s="80" t="str">
        <f>L_CViec!B500</f>
        <v>- Từ 05 thửa đến 10 thửa: Mức cho một thửa tính bằng 0,65 mức quy định tại Bảng 14;</v>
      </c>
      <c r="C539" s="80">
        <f>L_CViec!AB500</f>
        <v>0</v>
      </c>
      <c r="D539" s="80"/>
      <c r="E539" s="80">
        <f>L_CViec!AC500</f>
        <v>0</v>
      </c>
      <c r="F539" s="80">
        <f>L_CViec!AD500</f>
        <v>0</v>
      </c>
      <c r="G539" s="78">
        <f>L_CViec!AE500</f>
        <v>0.65</v>
      </c>
      <c r="H539" s="95">
        <f>L_CViec!AF500</f>
        <v>0</v>
      </c>
      <c r="I539" s="95">
        <f t="shared" si="68"/>
        <v>38580.165000000008</v>
      </c>
      <c r="J539" s="1091">
        <f t="shared" si="68"/>
        <v>3323.3850000000007</v>
      </c>
      <c r="K539" s="1091">
        <f t="shared" si="68"/>
        <v>3650.0000000000005</v>
      </c>
      <c r="L539" s="1144">
        <f>L_CViec!AA500</f>
        <v>0</v>
      </c>
      <c r="M539" s="1142"/>
      <c r="N539" s="1142"/>
      <c r="O539" s="1142"/>
    </row>
    <row r="540" spans="1:15" s="85" customFormat="1" ht="26.25" thickBot="1">
      <c r="A540" s="127"/>
      <c r="B540" s="132" t="str">
        <f>L_CViec!B501</f>
        <v>- Trên 10 thửa: Mức cho một thửa tính bằng 0,50 mức quy định tại Bảng 14.</v>
      </c>
      <c r="C540" s="132">
        <f>L_CViec!AB501</f>
        <v>0</v>
      </c>
      <c r="D540" s="132"/>
      <c r="E540" s="132">
        <f>L_CViec!AC501</f>
        <v>0</v>
      </c>
      <c r="F540" s="132">
        <f>L_CViec!AD501</f>
        <v>0</v>
      </c>
      <c r="G540" s="128">
        <f>L_CViec!AE501</f>
        <v>0.5</v>
      </c>
      <c r="H540" s="97">
        <f>L_CViec!AF501</f>
        <v>0</v>
      </c>
      <c r="I540" s="97">
        <f t="shared" si="68"/>
        <v>29677.050000000003</v>
      </c>
      <c r="J540" s="1090">
        <f t="shared" si="68"/>
        <v>2556.4500000000003</v>
      </c>
      <c r="K540" s="1090">
        <f t="shared" si="68"/>
        <v>2807.6923076923081</v>
      </c>
      <c r="L540" s="1144">
        <f>L_CViec!AA501</f>
        <v>0</v>
      </c>
      <c r="M540" s="1142"/>
      <c r="N540" s="1142"/>
      <c r="O540" s="1142"/>
    </row>
    <row r="541" spans="1:15">
      <c r="C541" s="24"/>
      <c r="D541" s="24"/>
      <c r="E541" s="24"/>
      <c r="F541" s="24"/>
      <c r="H541" s="26"/>
      <c r="I541" s="26"/>
      <c r="J541" s="26"/>
      <c r="K541" s="26"/>
    </row>
    <row r="542" spans="1:15">
      <c r="C542" s="24"/>
      <c r="D542" s="24"/>
      <c r="E542" s="24"/>
      <c r="F542" s="24"/>
      <c r="H542" s="26"/>
      <c r="I542" s="26"/>
      <c r="J542" s="26"/>
      <c r="K542" s="26"/>
    </row>
  </sheetData>
  <mergeCells count="143">
    <mergeCell ref="B473:B474"/>
    <mergeCell ref="B296:I296"/>
    <mergeCell ref="J296:K296"/>
    <mergeCell ref="B297:I297"/>
    <mergeCell ref="J297:K297"/>
    <mergeCell ref="B298:I298"/>
    <mergeCell ref="J298:K298"/>
    <mergeCell ref="J302:J303"/>
    <mergeCell ref="J416:J417"/>
    <mergeCell ref="B413:M413"/>
    <mergeCell ref="A526:A527"/>
    <mergeCell ref="C526:C527"/>
    <mergeCell ref="E526:E527"/>
    <mergeCell ref="H526:H527"/>
    <mergeCell ref="I526:I527"/>
    <mergeCell ref="B475:J475"/>
    <mergeCell ref="B523:M523"/>
    <mergeCell ref="B524:M524"/>
    <mergeCell ref="Q416:S416"/>
    <mergeCell ref="C416:C417"/>
    <mergeCell ref="K416:M416"/>
    <mergeCell ref="Q473:S473"/>
    <mergeCell ref="G416:I416"/>
    <mergeCell ref="G473:I473"/>
    <mergeCell ref="J473:J474"/>
    <mergeCell ref="C473:C474"/>
    <mergeCell ref="E416:E417"/>
    <mergeCell ref="A473:A474"/>
    <mergeCell ref="E473:E474"/>
    <mergeCell ref="A416:A417"/>
    <mergeCell ref="K473:M473"/>
    <mergeCell ref="B471:M471"/>
    <mergeCell ref="B418:J418"/>
    <mergeCell ref="B470:M470"/>
    <mergeCell ref="N302:P302"/>
    <mergeCell ref="Q302:S302"/>
    <mergeCell ref="C363:C364"/>
    <mergeCell ref="E363:E364"/>
    <mergeCell ref="G363:I363"/>
    <mergeCell ref="J363:J364"/>
    <mergeCell ref="G302:I302"/>
    <mergeCell ref="B355:M355"/>
    <mergeCell ref="N363:P363"/>
    <mergeCell ref="Q363:S363"/>
    <mergeCell ref="B356:M356"/>
    <mergeCell ref="B357:M357"/>
    <mergeCell ref="B358:M358"/>
    <mergeCell ref="C302:C303"/>
    <mergeCell ref="E302:E303"/>
    <mergeCell ref="B304:J304"/>
    <mergeCell ref="B359:M359"/>
    <mergeCell ref="B360:M360"/>
    <mergeCell ref="K302:M302"/>
    <mergeCell ref="K363:M363"/>
    <mergeCell ref="Q95:S95"/>
    <mergeCell ref="K95:M95"/>
    <mergeCell ref="N171:P171"/>
    <mergeCell ref="Q171:S171"/>
    <mergeCell ref="B165:M165"/>
    <mergeCell ref="B166:M166"/>
    <mergeCell ref="N95:P95"/>
    <mergeCell ref="B223:M223"/>
    <mergeCell ref="F232:F233"/>
    <mergeCell ref="B229:I229"/>
    <mergeCell ref="B173:J173"/>
    <mergeCell ref="H227:H228"/>
    <mergeCell ref="I227:I228"/>
    <mergeCell ref="B222:M222"/>
    <mergeCell ref="B95:B96"/>
    <mergeCell ref="B116:B121"/>
    <mergeCell ref="B122:B127"/>
    <mergeCell ref="B168:M168"/>
    <mergeCell ref="B169:M169"/>
    <mergeCell ref="B174:B178"/>
    <mergeCell ref="F102:F103"/>
    <mergeCell ref="B167:M167"/>
    <mergeCell ref="K171:M171"/>
    <mergeCell ref="C171:C172"/>
    <mergeCell ref="A116:A121"/>
    <mergeCell ref="B90:K90"/>
    <mergeCell ref="B78:C78"/>
    <mergeCell ref="B87:K87"/>
    <mergeCell ref="A122:A127"/>
    <mergeCell ref="A174:A178"/>
    <mergeCell ref="A171:A172"/>
    <mergeCell ref="A227:A228"/>
    <mergeCell ref="G95:I95"/>
    <mergeCell ref="E95:E96"/>
    <mergeCell ref="B91:K91"/>
    <mergeCell ref="B92:K92"/>
    <mergeCell ref="B93:K93"/>
    <mergeCell ref="B97:J97"/>
    <mergeCell ref="C95:C96"/>
    <mergeCell ref="A98:A103"/>
    <mergeCell ref="B98:C103"/>
    <mergeCell ref="F100:F101"/>
    <mergeCell ref="F98:F99"/>
    <mergeCell ref="J171:J172"/>
    <mergeCell ref="G171:I171"/>
    <mergeCell ref="C227:C228"/>
    <mergeCell ref="E227:E228"/>
    <mergeCell ref="E171:E172"/>
    <mergeCell ref="A1:K1"/>
    <mergeCell ref="A3:A4"/>
    <mergeCell ref="C3:C4"/>
    <mergeCell ref="I3:I4"/>
    <mergeCell ref="E3:E4"/>
    <mergeCell ref="B5:I5"/>
    <mergeCell ref="D3:D4"/>
    <mergeCell ref="A6:A11"/>
    <mergeCell ref="J95:J96"/>
    <mergeCell ref="H3:H4"/>
    <mergeCell ref="F6:F7"/>
    <mergeCell ref="F8:F9"/>
    <mergeCell ref="F10:F11"/>
    <mergeCell ref="B88:K88"/>
    <mergeCell ref="B89:K89"/>
    <mergeCell ref="D6:D11"/>
    <mergeCell ref="B6:C11"/>
    <mergeCell ref="B31:B36"/>
    <mergeCell ref="A95:A96"/>
    <mergeCell ref="A31:A36"/>
    <mergeCell ref="A37:A42"/>
    <mergeCell ref="B37:B42"/>
    <mergeCell ref="B224:M224"/>
    <mergeCell ref="A230:A235"/>
    <mergeCell ref="B230:B235"/>
    <mergeCell ref="F234:F235"/>
    <mergeCell ref="J299:K299"/>
    <mergeCell ref="F230:F231"/>
    <mergeCell ref="B411:M411"/>
    <mergeCell ref="B412:M412"/>
    <mergeCell ref="B365:J365"/>
    <mergeCell ref="A302:A303"/>
    <mergeCell ref="A363:A364"/>
    <mergeCell ref="B292:I292"/>
    <mergeCell ref="B293:I293"/>
    <mergeCell ref="J293:K293"/>
    <mergeCell ref="B294:I294"/>
    <mergeCell ref="J294:K294"/>
    <mergeCell ref="B295:I295"/>
    <mergeCell ref="J295:K295"/>
    <mergeCell ref="B299:I299"/>
  </mergeCells>
  <phoneticPr fontId="65" type="noConversion"/>
  <printOptions horizontalCentered="1"/>
  <pageMargins left="0.59055118110236227" right="0.19685039370078741" top="0.39370078740157483" bottom="0.39370078740157483" header="0.19685039370078741" footer="0.19685039370078741"/>
  <pageSetup paperSize="9" pageOrder="overThenDown" orientation="landscape" horizontalDpi="300" verticalDpi="300" r:id="rId1"/>
  <headerFooter alignWithMargins="0"/>
  <rowBreaks count="7" manualBreakCount="7">
    <brk id="93" max="16383" man="1"/>
    <brk id="169" max="16383" man="1"/>
    <brk id="300" max="16383" man="1"/>
    <brk id="361" max="16383" man="1"/>
    <brk id="414" max="16383" man="1"/>
    <brk id="471" max="16383" man="1"/>
    <brk id="524" max="16383" man="1"/>
  </rowBreaks>
  <colBreaks count="1" manualBreakCount="1">
    <brk id="11" max="1048575" man="1"/>
  </colBreaks>
  <ignoredErrors>
    <ignoredError sqref="I260:K261 K408:S408 B99:J99 B162:S162 G105:S105 Q128:S128 B163:E163 G163:S163 B98:J98 B100:K101 B103:J103 B102:K102 B164:S164 C174:D174 B176:D176 B178:D178 I256 K256 I253:K255 K467:S467 K518:S518 C105:E105 C104:S104 B170:S173 C199:E199 K199:S199 Q202:S203 Q204:S204 Q211:S211 Q220:S220 I266:K269 K7:K11 J236:K236 I284:K284 J283:K283 J238:K238 J237:K237 Q110:S115 Q117:S126 Q106:S108 Q147:S156 Q133:S140 Q158:S161 Q99:S99 C165:S165 N166:S169 N101:S101 Q198:S198 C200 Q221:S221 Q218:S219 Q200:S200 Q207:S207 Q208:S210 Q216:S217 F174:J174 F176:K176 F178:K178 K198 L198:P198 I242:K242 I244:K247 I249:K251 I271:K273 I280:K281 J282:K282 J233:K235 J240:K240 J241:K241 I286:K288 J285:K285 J290:K290 J289:K289 I16 N100:S100 L103:S103 N102:S102 L101:M101 L100:M100 L102:M102 L176:M178 I239 I275:K277 J274:K274 J279:K279"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rgb="FF00B050"/>
  </sheetPr>
  <dimension ref="A1:N254"/>
  <sheetViews>
    <sheetView showZeros="0" topLeftCell="A184" zoomScale="85" zoomScaleNormal="85" workbookViewId="0">
      <selection activeCell="K199" sqref="A1:XFD1048576"/>
    </sheetView>
  </sheetViews>
  <sheetFormatPr defaultColWidth="9" defaultRowHeight="15.75"/>
  <cols>
    <col min="1" max="1" width="7.21875" style="38" customWidth="1"/>
    <col min="2" max="2" width="30.77734375" style="5" customWidth="1"/>
    <col min="3" max="3" width="8.44140625" style="38" customWidth="1"/>
    <col min="4" max="4" width="10.77734375" style="5" customWidth="1"/>
    <col min="5" max="5" width="10.88671875" style="5" customWidth="1"/>
    <col min="6" max="6" width="9.6640625" style="207" customWidth="1"/>
    <col min="7" max="7" width="11.6640625" style="208" customWidth="1"/>
    <col min="8" max="8" width="11.109375" style="208" customWidth="1"/>
    <col min="9" max="9" width="9.21875" style="208" customWidth="1"/>
    <col min="10" max="10" width="12.6640625" style="40" customWidth="1"/>
    <col min="11" max="12" width="11.109375" style="40" customWidth="1"/>
    <col min="13" max="13" width="7.6640625" style="5" customWidth="1"/>
    <col min="14" max="14" width="8.44140625" style="5" customWidth="1"/>
    <col min="15" max="16384" width="9" style="5"/>
  </cols>
  <sheetData>
    <row r="1" spans="1:12" ht="30" customHeight="1">
      <c r="A1" s="1544" t="s">
        <v>564</v>
      </c>
      <c r="B1" s="1544"/>
      <c r="C1" s="1544"/>
      <c r="D1" s="1544"/>
      <c r="E1" s="1544"/>
      <c r="F1" s="1544"/>
      <c r="G1" s="1544"/>
      <c r="H1" s="1544"/>
      <c r="I1" s="1544"/>
      <c r="J1" s="1544"/>
      <c r="K1" s="1544"/>
      <c r="L1" s="1544"/>
    </row>
    <row r="2" spans="1:12" ht="16.5" thickBot="1">
      <c r="F2" s="54"/>
      <c r="G2" s="50"/>
      <c r="H2" s="50"/>
      <c r="I2" s="50"/>
      <c r="J2" s="1543" t="s">
        <v>360</v>
      </c>
      <c r="K2" s="1543"/>
    </row>
    <row r="3" spans="1:12" s="174" customFormat="1" ht="15.75" customHeight="1">
      <c r="A3" s="1468" t="s">
        <v>24</v>
      </c>
      <c r="B3" s="1470" t="s">
        <v>2</v>
      </c>
      <c r="C3" s="1470" t="s">
        <v>39</v>
      </c>
      <c r="D3" s="1470" t="s">
        <v>112</v>
      </c>
      <c r="E3" s="1470" t="s">
        <v>415</v>
      </c>
      <c r="F3" s="1472" t="s">
        <v>28</v>
      </c>
      <c r="G3" s="1498" t="s">
        <v>361</v>
      </c>
      <c r="H3" s="1498"/>
      <c r="I3" s="1498"/>
      <c r="J3" s="1482" t="s">
        <v>36</v>
      </c>
      <c r="K3" s="1482"/>
      <c r="L3" s="1483"/>
    </row>
    <row r="4" spans="1:12" s="174" customFormat="1" ht="62.25" customHeight="1">
      <c r="A4" s="1469"/>
      <c r="B4" s="1471"/>
      <c r="C4" s="1471"/>
      <c r="D4" s="1471"/>
      <c r="E4" s="1471"/>
      <c r="F4" s="1473"/>
      <c r="G4" s="325" t="s">
        <v>752</v>
      </c>
      <c r="H4" s="325" t="s">
        <v>363</v>
      </c>
      <c r="I4" s="325" t="s">
        <v>364</v>
      </c>
      <c r="J4" s="325" t="s">
        <v>752</v>
      </c>
      <c r="K4" s="326" t="s">
        <v>363</v>
      </c>
      <c r="L4" s="327" t="s">
        <v>364</v>
      </c>
    </row>
    <row r="5" spans="1:12" s="12" customFormat="1" ht="62.25" customHeight="1">
      <c r="A5" s="407" t="str">
        <f>L_CViec!A10</f>
        <v>I</v>
      </c>
      <c r="B5" s="1527" t="str">
        <f>L_CViec!B10</f>
        <v>ĐĂNG KÝ, CẤP GIẤY CHỨNG NHẬN LẦN ĐẦU ĐỒNG LOẠT ĐỐI VỚI HỘ GIA ĐÌNH, CÁ NHÂN, CỘNG ĐỒNG DÂN CƯ, TỔ CHỨC SỬ DỤNG ĐẤT, NGƯỜI GỐC VIỆT NAM ĐỊNH CƯ Ở NƯỚC NGOÀI TẠI ĐỊA BÀN CẤP XÃ, PHƯỜNG</v>
      </c>
      <c r="C5" s="1528"/>
      <c r="D5" s="1528"/>
      <c r="E5" s="1528"/>
      <c r="F5" s="1528"/>
      <c r="G5" s="1528"/>
      <c r="H5" s="1528"/>
      <c r="I5" s="1529"/>
      <c r="J5" s="405"/>
      <c r="K5" s="405"/>
      <c r="L5" s="406" t="s">
        <v>750</v>
      </c>
    </row>
    <row r="6" spans="1:12" ht="20.25" customHeight="1">
      <c r="A6" s="41">
        <v>1</v>
      </c>
      <c r="B6" s="42" t="s">
        <v>367</v>
      </c>
      <c r="C6" s="8" t="s">
        <v>366</v>
      </c>
      <c r="D6" s="8">
        <v>96</v>
      </c>
      <c r="E6" s="9">
        <f>'Gia_Dcu-Tbi-Vlieu'!E6</f>
        <v>568000</v>
      </c>
      <c r="F6" s="52">
        <f t="shared" ref="F6:F15" si="0">E6/D6/26</f>
        <v>227.56410256410257</v>
      </c>
      <c r="G6" s="485">
        <v>2.516</v>
      </c>
      <c r="H6" s="485">
        <v>0.61099999999999999</v>
      </c>
      <c r="I6" s="485">
        <v>0.16800000000000001</v>
      </c>
      <c r="J6" s="185">
        <f t="shared" ref="J6:J16" si="1">$F6*G6</f>
        <v>572.5512820512821</v>
      </c>
      <c r="K6" s="185">
        <f t="shared" ref="K6:K16" si="2">$F6*H6</f>
        <v>139.04166666666666</v>
      </c>
      <c r="L6" s="17">
        <f t="shared" ref="L6:L16" si="3">$F6*I6</f>
        <v>38.230769230769234</v>
      </c>
    </row>
    <row r="7" spans="1:12" ht="20.25" customHeight="1">
      <c r="A7" s="41">
        <v>2</v>
      </c>
      <c r="B7" s="42" t="s">
        <v>49</v>
      </c>
      <c r="C7" s="8" t="s">
        <v>366</v>
      </c>
      <c r="D7" s="8">
        <v>96</v>
      </c>
      <c r="E7" s="9">
        <f>'Gia_Dcu-Tbi-Vlieu'!E7</f>
        <v>1620000</v>
      </c>
      <c r="F7" s="52">
        <f t="shared" si="0"/>
        <v>649.03846153846155</v>
      </c>
      <c r="G7" s="485">
        <v>2.516</v>
      </c>
      <c r="H7" s="485">
        <v>0.61099999999999999</v>
      </c>
      <c r="I7" s="485">
        <v>0.16800000000000001</v>
      </c>
      <c r="J7" s="185">
        <f t="shared" si="1"/>
        <v>1632.9807692307693</v>
      </c>
      <c r="K7" s="185">
        <f t="shared" si="2"/>
        <v>396.5625</v>
      </c>
      <c r="L7" s="17">
        <f t="shared" si="3"/>
        <v>109.03846153846155</v>
      </c>
    </row>
    <row r="8" spans="1:12" ht="20.25" customHeight="1">
      <c r="A8" s="41">
        <v>3</v>
      </c>
      <c r="B8" s="42" t="s">
        <v>368</v>
      </c>
      <c r="C8" s="8" t="s">
        <v>366</v>
      </c>
      <c r="D8" s="8">
        <v>96</v>
      </c>
      <c r="E8" s="9">
        <f>'Gia_Dcu-Tbi-Vlieu'!E8</f>
        <v>3500000</v>
      </c>
      <c r="F8" s="52">
        <f t="shared" si="0"/>
        <v>1402.2435897435898</v>
      </c>
      <c r="G8" s="485">
        <v>1.651</v>
      </c>
      <c r="H8" s="485">
        <v>0.56499999999999995</v>
      </c>
      <c r="I8" s="485">
        <v>0.16800000000000001</v>
      </c>
      <c r="J8" s="185">
        <f t="shared" si="1"/>
        <v>2315.104166666667</v>
      </c>
      <c r="K8" s="185">
        <f t="shared" si="2"/>
        <v>792.26762820512818</v>
      </c>
      <c r="L8" s="17">
        <f t="shared" si="3"/>
        <v>235.57692307692309</v>
      </c>
    </row>
    <row r="9" spans="1:12" ht="20.25" customHeight="1">
      <c r="A9" s="41">
        <v>4</v>
      </c>
      <c r="B9" s="42" t="s">
        <v>371</v>
      </c>
      <c r="C9" s="8" t="s">
        <v>366</v>
      </c>
      <c r="D9" s="8">
        <v>12</v>
      </c>
      <c r="E9" s="9">
        <f>'Gia_Dcu-Tbi-Vlieu'!E11</f>
        <v>1125000</v>
      </c>
      <c r="F9" s="52">
        <f t="shared" si="0"/>
        <v>3605.7692307692309</v>
      </c>
      <c r="G9" s="485">
        <v>7.0000000000000001E-3</v>
      </c>
      <c r="H9" s="485">
        <v>2E-3</v>
      </c>
      <c r="I9" s="485">
        <v>0.01</v>
      </c>
      <c r="J9" s="185">
        <f t="shared" si="1"/>
        <v>25.240384615384617</v>
      </c>
      <c r="K9" s="185">
        <f t="shared" si="2"/>
        <v>7.2115384615384617</v>
      </c>
      <c r="L9" s="17">
        <f t="shared" si="3"/>
        <v>36.057692307692314</v>
      </c>
    </row>
    <row r="10" spans="1:12" ht="20.25" customHeight="1">
      <c r="A10" s="41">
        <v>5</v>
      </c>
      <c r="B10" s="42" t="s">
        <v>372</v>
      </c>
      <c r="C10" s="8" t="s">
        <v>366</v>
      </c>
      <c r="D10" s="8">
        <v>12</v>
      </c>
      <c r="E10" s="9">
        <f>'Gia_Dcu-Tbi-Vlieu'!E12</f>
        <v>15000</v>
      </c>
      <c r="F10" s="52">
        <f t="shared" si="0"/>
        <v>48.07692307692308</v>
      </c>
      <c r="G10" s="485">
        <v>3.5999999999999997E-2</v>
      </c>
      <c r="H10" s="485">
        <v>8.5000000000000006E-2</v>
      </c>
      <c r="I10" s="485">
        <v>5.0000000000000001E-3</v>
      </c>
      <c r="J10" s="185">
        <f t="shared" si="1"/>
        <v>1.7307692307692308</v>
      </c>
      <c r="K10" s="185">
        <f t="shared" si="2"/>
        <v>4.0865384615384617</v>
      </c>
      <c r="L10" s="17">
        <f t="shared" si="3"/>
        <v>0.24038461538461542</v>
      </c>
    </row>
    <row r="11" spans="1:12" ht="20.25" customHeight="1">
      <c r="A11" s="41">
        <v>6</v>
      </c>
      <c r="B11" s="42" t="s">
        <v>373</v>
      </c>
      <c r="C11" s="8" t="s">
        <v>366</v>
      </c>
      <c r="D11" s="8">
        <v>12</v>
      </c>
      <c r="E11" s="9">
        <f>'Gia_Dcu-Tbi-Vlieu'!E13</f>
        <v>530000</v>
      </c>
      <c r="F11" s="52">
        <f t="shared" si="0"/>
        <v>1698.7179487179487</v>
      </c>
      <c r="G11" s="485">
        <v>0.105</v>
      </c>
      <c r="H11" s="485">
        <v>2.9000000000000001E-2</v>
      </c>
      <c r="I11" s="485">
        <v>2E-3</v>
      </c>
      <c r="J11" s="185">
        <f t="shared" si="1"/>
        <v>178.36538461538461</v>
      </c>
      <c r="K11" s="185">
        <f t="shared" si="2"/>
        <v>49.262820512820518</v>
      </c>
      <c r="L11" s="17">
        <f t="shared" si="3"/>
        <v>3.3974358974358974</v>
      </c>
    </row>
    <row r="12" spans="1:12" ht="20.25" customHeight="1">
      <c r="A12" s="41">
        <v>7</v>
      </c>
      <c r="B12" s="42" t="s">
        <v>374</v>
      </c>
      <c r="C12" s="8" t="s">
        <v>366</v>
      </c>
      <c r="D12" s="8">
        <v>9</v>
      </c>
      <c r="E12" s="9">
        <f>'Gia_Dcu-Tbi-Vlieu'!E14</f>
        <v>30000</v>
      </c>
      <c r="F12" s="52">
        <f t="shared" si="0"/>
        <v>128.2051282051282</v>
      </c>
      <c r="G12" s="485">
        <v>0.05</v>
      </c>
      <c r="H12" s="485">
        <v>1.4E-2</v>
      </c>
      <c r="I12" s="485">
        <v>1E-3</v>
      </c>
      <c r="J12" s="185">
        <f t="shared" si="1"/>
        <v>6.4102564102564106</v>
      </c>
      <c r="K12" s="185">
        <f t="shared" si="2"/>
        <v>1.7948717948717949</v>
      </c>
      <c r="L12" s="17">
        <f t="shared" si="3"/>
        <v>0.12820512820512819</v>
      </c>
    </row>
    <row r="13" spans="1:12" ht="20.25" customHeight="1">
      <c r="A13" s="41">
        <v>8</v>
      </c>
      <c r="B13" s="42" t="s">
        <v>377</v>
      </c>
      <c r="C13" s="8" t="s">
        <v>366</v>
      </c>
      <c r="D13" s="8">
        <v>12</v>
      </c>
      <c r="E13" s="9">
        <f>'Gia_Dcu-Tbi-Vlieu'!E18</f>
        <v>85000</v>
      </c>
      <c r="F13" s="52">
        <f t="shared" si="0"/>
        <v>272.4358974358974</v>
      </c>
      <c r="G13" s="485">
        <v>0.106</v>
      </c>
      <c r="H13" s="485">
        <v>2.7E-2</v>
      </c>
      <c r="I13" s="485">
        <v>2E-3</v>
      </c>
      <c r="J13" s="185">
        <f t="shared" si="1"/>
        <v>28.878205128205124</v>
      </c>
      <c r="K13" s="185">
        <f t="shared" si="2"/>
        <v>7.3557692307692299</v>
      </c>
      <c r="L13" s="17">
        <f t="shared" si="3"/>
        <v>0.54487179487179482</v>
      </c>
    </row>
    <row r="14" spans="1:12" ht="20.25" customHeight="1">
      <c r="A14" s="41">
        <v>9</v>
      </c>
      <c r="B14" s="42" t="s">
        <v>378</v>
      </c>
      <c r="C14" s="8" t="s">
        <v>366</v>
      </c>
      <c r="D14" s="8">
        <v>36</v>
      </c>
      <c r="E14" s="9">
        <f>'Gia_Dcu-Tbi-Vlieu'!E19</f>
        <v>795000</v>
      </c>
      <c r="F14" s="52">
        <f t="shared" si="0"/>
        <v>849.35897435897436</v>
      </c>
      <c r="G14" s="485">
        <v>0.98499999999999999</v>
      </c>
      <c r="H14" s="485">
        <v>0.39600000000000002</v>
      </c>
      <c r="I14" s="485">
        <v>8.4000000000000005E-2</v>
      </c>
      <c r="J14" s="185">
        <f t="shared" si="1"/>
        <v>836.61858974358972</v>
      </c>
      <c r="K14" s="185">
        <f t="shared" si="2"/>
        <v>336.34615384615387</v>
      </c>
      <c r="L14" s="17">
        <f t="shared" si="3"/>
        <v>71.346153846153854</v>
      </c>
    </row>
    <row r="15" spans="1:12" ht="20.25" customHeight="1">
      <c r="A15" s="41">
        <v>10</v>
      </c>
      <c r="B15" s="42" t="s">
        <v>379</v>
      </c>
      <c r="C15" s="8" t="s">
        <v>380</v>
      </c>
      <c r="D15" s="8">
        <v>30</v>
      </c>
      <c r="E15" s="9">
        <f>'Gia_Dcu-Tbi-Vlieu'!E20</f>
        <v>212000</v>
      </c>
      <c r="F15" s="52">
        <f t="shared" si="0"/>
        <v>271.79487179487182</v>
      </c>
      <c r="G15" s="485">
        <v>2.516</v>
      </c>
      <c r="H15" s="485">
        <v>0.61099999999999999</v>
      </c>
      <c r="I15" s="485">
        <v>0.16800000000000001</v>
      </c>
      <c r="J15" s="185">
        <f t="shared" si="1"/>
        <v>683.83589743589755</v>
      </c>
      <c r="K15" s="185">
        <f t="shared" si="2"/>
        <v>166.06666666666669</v>
      </c>
      <c r="L15" s="17">
        <f t="shared" si="3"/>
        <v>45.66153846153847</v>
      </c>
    </row>
    <row r="16" spans="1:12" ht="20.25" customHeight="1">
      <c r="A16" s="41">
        <v>11</v>
      </c>
      <c r="B16" s="1159" t="s">
        <v>18</v>
      </c>
      <c r="C16" s="48" t="s">
        <v>381</v>
      </c>
      <c r="D16" s="1160">
        <v>1</v>
      </c>
      <c r="E16" s="49">
        <f>'Gia_Dcu-Tbi-Vlieu'!E21</f>
        <v>2204.0655000000002</v>
      </c>
      <c r="F16" s="1161">
        <f>D16*E16</f>
        <v>2204.0655000000002</v>
      </c>
      <c r="G16" s="1162">
        <v>1.593</v>
      </c>
      <c r="H16" s="1162">
        <v>0.51200000000000001</v>
      </c>
      <c r="I16" s="1162">
        <v>0.121</v>
      </c>
      <c r="J16" s="1163">
        <f t="shared" si="1"/>
        <v>3511.0763415000001</v>
      </c>
      <c r="K16" s="1163">
        <f t="shared" si="2"/>
        <v>1128.481536</v>
      </c>
      <c r="L16" s="45">
        <f t="shared" si="3"/>
        <v>266.69192550000002</v>
      </c>
    </row>
    <row r="17" spans="1:13" s="15" customFormat="1" ht="33.75" customHeight="1">
      <c r="A17" s="411"/>
      <c r="B17" s="412" t="s">
        <v>580</v>
      </c>
      <c r="C17" s="413"/>
      <c r="D17" s="414"/>
      <c r="E17" s="415"/>
      <c r="F17" s="416"/>
      <c r="G17" s="487"/>
      <c r="H17" s="487"/>
      <c r="I17" s="488">
        <v>1</v>
      </c>
      <c r="J17" s="417">
        <f>SUM(J6:J15)*$I17+J16</f>
        <v>9792.7920466282067</v>
      </c>
      <c r="K17" s="417"/>
      <c r="L17" s="417">
        <f>SUM(L6:L15)*$I17+L16</f>
        <v>806.91436139743598</v>
      </c>
    </row>
    <row r="18" spans="1:13" ht="20.25" customHeight="1">
      <c r="A18" s="199"/>
      <c r="B18" s="1148" t="s">
        <v>332</v>
      </c>
      <c r="C18" s="1149"/>
      <c r="D18" s="1150"/>
      <c r="E18" s="1150"/>
      <c r="F18" s="1151"/>
      <c r="G18" s="1152"/>
      <c r="H18" s="1150"/>
      <c r="I18" s="1153"/>
      <c r="J18" s="1153"/>
      <c r="K18" s="1153"/>
      <c r="L18" s="1154"/>
      <c r="M18" s="40"/>
    </row>
    <row r="19" spans="1:13" ht="20.25" customHeight="1">
      <c r="A19" s="41"/>
      <c r="B19" s="428" t="s">
        <v>751</v>
      </c>
      <c r="C19" s="444"/>
      <c r="D19" s="445"/>
      <c r="E19" s="445"/>
      <c r="F19" s="446"/>
      <c r="G19" s="498"/>
      <c r="H19" s="445"/>
      <c r="I19" s="499"/>
      <c r="J19" s="499"/>
      <c r="K19" s="499"/>
      <c r="L19" s="498"/>
      <c r="M19" s="40"/>
    </row>
    <row r="20" spans="1:13" s="15" customFormat="1" ht="20.25" customHeight="1">
      <c r="A20" s="239"/>
      <c r="B20" s="438" t="s">
        <v>121</v>
      </c>
      <c r="C20" s="448"/>
      <c r="D20" s="438"/>
      <c r="E20" s="1156"/>
      <c r="F20" s="1156"/>
      <c r="G20" s="1156">
        <v>0.9</v>
      </c>
      <c r="H20" s="1156">
        <v>1</v>
      </c>
      <c r="I20" s="1156">
        <v>1</v>
      </c>
      <c r="J20" s="449">
        <f t="shared" ref="J20:L22" si="4">G20*J$17</f>
        <v>8813.5128419653865</v>
      </c>
      <c r="K20" s="449">
        <f t="shared" si="4"/>
        <v>0</v>
      </c>
      <c r="L20" s="449">
        <f t="shared" si="4"/>
        <v>806.91436139743598</v>
      </c>
      <c r="M20" s="5"/>
    </row>
    <row r="21" spans="1:13" s="15" customFormat="1" ht="20.25" customHeight="1">
      <c r="A21" s="239"/>
      <c r="B21" s="438" t="s">
        <v>122</v>
      </c>
      <c r="C21" s="438"/>
      <c r="D21" s="438"/>
      <c r="E21" s="1156"/>
      <c r="F21" s="1156"/>
      <c r="G21" s="1156">
        <v>1</v>
      </c>
      <c r="H21" s="1156">
        <v>1</v>
      </c>
      <c r="I21" s="1156">
        <v>1</v>
      </c>
      <c r="J21" s="449">
        <f t="shared" si="4"/>
        <v>9792.7920466282067</v>
      </c>
      <c r="K21" s="449">
        <f t="shared" si="4"/>
        <v>0</v>
      </c>
      <c r="L21" s="449">
        <f t="shared" si="4"/>
        <v>806.91436139743598</v>
      </c>
      <c r="M21" s="5"/>
    </row>
    <row r="22" spans="1:13" s="15" customFormat="1" ht="20.25" customHeight="1">
      <c r="A22" s="239"/>
      <c r="B22" s="438" t="s">
        <v>123</v>
      </c>
      <c r="C22" s="438"/>
      <c r="D22" s="438"/>
      <c r="E22" s="1156"/>
      <c r="F22" s="1156"/>
      <c r="G22" s="1156">
        <v>1.1000000000000001</v>
      </c>
      <c r="H22" s="1156">
        <v>1</v>
      </c>
      <c r="I22" s="1156">
        <v>1</v>
      </c>
      <c r="J22" s="449">
        <f t="shared" si="4"/>
        <v>10772.071251291029</v>
      </c>
      <c r="K22" s="449">
        <f t="shared" si="4"/>
        <v>0</v>
      </c>
      <c r="L22" s="449">
        <f t="shared" si="4"/>
        <v>806.91436139743598</v>
      </c>
      <c r="M22" s="5"/>
    </row>
    <row r="23" spans="1:13" ht="36.75" customHeight="1">
      <c r="A23" s="41"/>
      <c r="B23" s="1516" t="s">
        <v>419</v>
      </c>
      <c r="C23" s="1516"/>
      <c r="D23" s="1516"/>
      <c r="E23" s="1516"/>
      <c r="F23" s="438" t="s">
        <v>121</v>
      </c>
      <c r="G23" s="499">
        <v>1.6</v>
      </c>
      <c r="H23" s="499">
        <v>1.6</v>
      </c>
      <c r="I23" s="499">
        <v>1.6</v>
      </c>
      <c r="J23" s="498">
        <f t="shared" ref="J23:L25" si="5">J20*G23</f>
        <v>14101.620547144619</v>
      </c>
      <c r="K23" s="498">
        <f t="shared" si="5"/>
        <v>0</v>
      </c>
      <c r="L23" s="498">
        <f t="shared" si="5"/>
        <v>1291.0629782358976</v>
      </c>
    </row>
    <row r="24" spans="1:13" ht="33.75" customHeight="1">
      <c r="A24" s="41"/>
      <c r="B24" s="1516"/>
      <c r="C24" s="1516"/>
      <c r="D24" s="1516"/>
      <c r="E24" s="1516"/>
      <c r="F24" s="438" t="s">
        <v>122</v>
      </c>
      <c r="G24" s="499">
        <v>1.6</v>
      </c>
      <c r="H24" s="499">
        <v>1.6</v>
      </c>
      <c r="I24" s="499">
        <v>1.6</v>
      </c>
      <c r="J24" s="498">
        <f t="shared" si="5"/>
        <v>15668.467274605131</v>
      </c>
      <c r="K24" s="498">
        <f t="shared" si="5"/>
        <v>0</v>
      </c>
      <c r="L24" s="498">
        <f t="shared" si="5"/>
        <v>1291.0629782358976</v>
      </c>
    </row>
    <row r="25" spans="1:13" ht="27.75" customHeight="1">
      <c r="A25" s="41"/>
      <c r="B25" s="1516"/>
      <c r="C25" s="1516"/>
      <c r="D25" s="1516"/>
      <c r="E25" s="1516"/>
      <c r="F25" s="438" t="s">
        <v>123</v>
      </c>
      <c r="G25" s="499">
        <v>1.6</v>
      </c>
      <c r="H25" s="499">
        <v>1.6</v>
      </c>
      <c r="I25" s="499">
        <v>1.6</v>
      </c>
      <c r="J25" s="498">
        <f t="shared" si="5"/>
        <v>17235.314002065646</v>
      </c>
      <c r="K25" s="498">
        <f t="shared" si="5"/>
        <v>0</v>
      </c>
      <c r="L25" s="498">
        <f t="shared" si="5"/>
        <v>1291.0629782358976</v>
      </c>
    </row>
    <row r="26" spans="1:13" ht="63" customHeight="1">
      <c r="A26" s="41"/>
      <c r="B26" s="1516" t="s">
        <v>500</v>
      </c>
      <c r="C26" s="1516"/>
      <c r="D26" s="1516"/>
      <c r="E26" s="1516"/>
      <c r="F26" s="438" t="s">
        <v>756</v>
      </c>
      <c r="G26" s="1157">
        <v>1.0029999999999999</v>
      </c>
      <c r="H26" s="1157">
        <v>1.0029999999999999</v>
      </c>
      <c r="I26" s="1157">
        <v>1.0029999999999999</v>
      </c>
      <c r="J26" s="9">
        <f>G26*J$17</f>
        <v>9822.1704227680893</v>
      </c>
      <c r="K26" s="498">
        <f>K20*H26</f>
        <v>0</v>
      </c>
      <c r="L26" s="498">
        <f>I26*L$17</f>
        <v>809.33510448162815</v>
      </c>
    </row>
    <row r="27" spans="1:13" ht="25.5" hidden="1" customHeight="1">
      <c r="A27" s="41"/>
      <c r="B27" s="1516" t="s">
        <v>420</v>
      </c>
      <c r="C27" s="1516"/>
      <c r="D27" s="1516"/>
      <c r="E27" s="1516"/>
      <c r="F27" s="438" t="s">
        <v>121</v>
      </c>
      <c r="G27" s="499">
        <v>0.2</v>
      </c>
      <c r="H27" s="499">
        <v>0.3</v>
      </c>
      <c r="I27" s="499"/>
      <c r="J27" s="498">
        <f t="shared" ref="J27:L29" si="6">J20*G27</f>
        <v>1762.7025683930774</v>
      </c>
      <c r="K27" s="498">
        <f t="shared" si="6"/>
        <v>0</v>
      </c>
      <c r="L27" s="498">
        <f t="shared" si="6"/>
        <v>0</v>
      </c>
    </row>
    <row r="28" spans="1:13" ht="25.5" hidden="1" customHeight="1">
      <c r="A28" s="41"/>
      <c r="B28" s="1516"/>
      <c r="C28" s="1516"/>
      <c r="D28" s="1516"/>
      <c r="E28" s="1516"/>
      <c r="F28" s="438" t="s">
        <v>122</v>
      </c>
      <c r="G28" s="499">
        <v>0.2</v>
      </c>
      <c r="H28" s="499">
        <v>0.3</v>
      </c>
      <c r="I28" s="499"/>
      <c r="J28" s="498">
        <f t="shared" si="6"/>
        <v>1958.5584093256414</v>
      </c>
      <c r="K28" s="498">
        <f t="shared" si="6"/>
        <v>0</v>
      </c>
      <c r="L28" s="498">
        <f t="shared" si="6"/>
        <v>0</v>
      </c>
    </row>
    <row r="29" spans="1:13" ht="25.5" hidden="1" customHeight="1">
      <c r="A29" s="41"/>
      <c r="B29" s="1516"/>
      <c r="C29" s="1516"/>
      <c r="D29" s="1516"/>
      <c r="E29" s="1516"/>
      <c r="F29" s="438" t="s">
        <v>123</v>
      </c>
      <c r="G29" s="499">
        <v>0.2</v>
      </c>
      <c r="H29" s="499">
        <v>0.3</v>
      </c>
      <c r="I29" s="499"/>
      <c r="J29" s="498">
        <f t="shared" si="6"/>
        <v>2154.4142502582058</v>
      </c>
      <c r="K29" s="498">
        <f t="shared" si="6"/>
        <v>0</v>
      </c>
      <c r="L29" s="498">
        <f t="shared" si="6"/>
        <v>0</v>
      </c>
    </row>
    <row r="30" spans="1:13" ht="48.6" customHeight="1">
      <c r="A30" s="41"/>
      <c r="B30" s="1516" t="s">
        <v>753</v>
      </c>
      <c r="C30" s="1516"/>
      <c r="D30" s="1516"/>
      <c r="E30" s="1516"/>
      <c r="F30" s="1158"/>
      <c r="G30" s="499"/>
      <c r="H30" s="499"/>
      <c r="I30" s="499"/>
      <c r="J30" s="498"/>
      <c r="K30" s="498"/>
      <c r="L30" s="498"/>
    </row>
    <row r="31" spans="1:13">
      <c r="A31" s="41"/>
      <c r="B31" s="1516" t="s">
        <v>754</v>
      </c>
      <c r="C31" s="1516"/>
      <c r="D31" s="1516"/>
      <c r="E31" s="1516"/>
      <c r="F31" s="438" t="s">
        <v>121</v>
      </c>
      <c r="G31" s="499">
        <v>0.5</v>
      </c>
      <c r="H31" s="499">
        <v>0.5</v>
      </c>
      <c r="I31" s="499">
        <v>0.5</v>
      </c>
      <c r="J31" s="498">
        <f t="shared" ref="J31:L33" si="7">J20*G31</f>
        <v>4406.7564209826933</v>
      </c>
      <c r="K31" s="498">
        <f t="shared" si="7"/>
        <v>0</v>
      </c>
      <c r="L31" s="498">
        <f t="shared" si="7"/>
        <v>403.45718069871799</v>
      </c>
    </row>
    <row r="32" spans="1:13">
      <c r="A32" s="41"/>
      <c r="B32" s="1516"/>
      <c r="C32" s="1516"/>
      <c r="D32" s="1516"/>
      <c r="E32" s="1516"/>
      <c r="F32" s="438" t="s">
        <v>122</v>
      </c>
      <c r="G32" s="499">
        <v>0.5</v>
      </c>
      <c r="H32" s="499">
        <v>0.5</v>
      </c>
      <c r="I32" s="499">
        <v>0.5</v>
      </c>
      <c r="J32" s="498">
        <f t="shared" si="7"/>
        <v>4896.3960233141033</v>
      </c>
      <c r="K32" s="498">
        <f t="shared" si="7"/>
        <v>0</v>
      </c>
      <c r="L32" s="498">
        <f t="shared" si="7"/>
        <v>403.45718069871799</v>
      </c>
    </row>
    <row r="33" spans="1:12">
      <c r="A33" s="41"/>
      <c r="B33" s="1516"/>
      <c r="C33" s="1516"/>
      <c r="D33" s="1516"/>
      <c r="E33" s="1516"/>
      <c r="F33" s="438" t="s">
        <v>123</v>
      </c>
      <c r="G33" s="499">
        <v>0.5</v>
      </c>
      <c r="H33" s="499">
        <v>0.5</v>
      </c>
      <c r="I33" s="499">
        <v>0.5</v>
      </c>
      <c r="J33" s="498">
        <f t="shared" si="7"/>
        <v>5386.0356256455143</v>
      </c>
      <c r="K33" s="498">
        <f t="shared" si="7"/>
        <v>0</v>
      </c>
      <c r="L33" s="498">
        <f t="shared" si="7"/>
        <v>403.45718069871799</v>
      </c>
    </row>
    <row r="34" spans="1:12">
      <c r="A34" s="41"/>
      <c r="B34" s="1516" t="s">
        <v>755</v>
      </c>
      <c r="C34" s="1516"/>
      <c r="D34" s="1516"/>
      <c r="E34" s="1516"/>
      <c r="F34" s="438" t="s">
        <v>121</v>
      </c>
      <c r="G34" s="499">
        <v>0.9</v>
      </c>
      <c r="H34" s="499">
        <v>0.9</v>
      </c>
      <c r="I34" s="499">
        <v>0.9</v>
      </c>
      <c r="J34" s="498">
        <f t="shared" ref="J34:L36" si="8">J20*G34</f>
        <v>7932.1615577688481</v>
      </c>
      <c r="K34" s="498">
        <f t="shared" si="8"/>
        <v>0</v>
      </c>
      <c r="L34" s="498">
        <f t="shared" si="8"/>
        <v>726.2229252576924</v>
      </c>
    </row>
    <row r="35" spans="1:12">
      <c r="A35" s="41"/>
      <c r="B35" s="1516"/>
      <c r="C35" s="1516"/>
      <c r="D35" s="1516"/>
      <c r="E35" s="1516"/>
      <c r="F35" s="438" t="s">
        <v>122</v>
      </c>
      <c r="G35" s="499">
        <v>0.9</v>
      </c>
      <c r="H35" s="499">
        <v>0.9</v>
      </c>
      <c r="I35" s="499">
        <v>0.9</v>
      </c>
      <c r="J35" s="498">
        <f t="shared" si="8"/>
        <v>8813.5128419653865</v>
      </c>
      <c r="K35" s="498">
        <f t="shared" si="8"/>
        <v>0</v>
      </c>
      <c r="L35" s="498">
        <f t="shared" si="8"/>
        <v>726.2229252576924</v>
      </c>
    </row>
    <row r="36" spans="1:12">
      <c r="A36" s="41"/>
      <c r="B36" s="1516"/>
      <c r="C36" s="1516"/>
      <c r="D36" s="1516"/>
      <c r="E36" s="1516"/>
      <c r="F36" s="438" t="s">
        <v>123</v>
      </c>
      <c r="G36" s="499">
        <v>0.9</v>
      </c>
      <c r="H36" s="499">
        <v>0.9</v>
      </c>
      <c r="I36" s="499">
        <v>0.9</v>
      </c>
      <c r="J36" s="498">
        <f t="shared" si="8"/>
        <v>9694.8641261619268</v>
      </c>
      <c r="K36" s="498">
        <f t="shared" si="8"/>
        <v>0</v>
      </c>
      <c r="L36" s="498">
        <f t="shared" si="8"/>
        <v>726.2229252576924</v>
      </c>
    </row>
    <row r="37" spans="1:12" ht="15.75" customHeight="1">
      <c r="A37" s="432"/>
      <c r="B37" s="1517" t="s">
        <v>757</v>
      </c>
      <c r="C37" s="1518"/>
      <c r="D37" s="1518"/>
      <c r="E37" s="1519"/>
      <c r="F37" s="438" t="s">
        <v>121</v>
      </c>
      <c r="G37" s="499"/>
      <c r="H37" s="499"/>
      <c r="I37" s="499"/>
      <c r="J37" s="498"/>
      <c r="K37" s="498"/>
      <c r="L37" s="498"/>
    </row>
    <row r="38" spans="1:12">
      <c r="A38" s="432"/>
      <c r="B38" s="1520"/>
      <c r="C38" s="1521"/>
      <c r="D38" s="1521"/>
      <c r="E38" s="1522"/>
      <c r="F38" s="438" t="s">
        <v>122</v>
      </c>
      <c r="G38" s="499"/>
      <c r="H38" s="499"/>
      <c r="I38" s="499"/>
      <c r="J38" s="498"/>
      <c r="K38" s="498"/>
      <c r="L38" s="498"/>
    </row>
    <row r="39" spans="1:12" ht="36" customHeight="1">
      <c r="A39" s="432"/>
      <c r="B39" s="1523"/>
      <c r="C39" s="1524"/>
      <c r="D39" s="1524"/>
      <c r="E39" s="1525"/>
      <c r="F39" s="438" t="s">
        <v>123</v>
      </c>
      <c r="G39" s="499"/>
      <c r="H39" s="499"/>
      <c r="I39" s="499"/>
      <c r="J39" s="498"/>
      <c r="K39" s="498"/>
      <c r="L39" s="498"/>
    </row>
    <row r="40" spans="1:12" ht="16.5" thickBot="1">
      <c r="A40" s="432"/>
      <c r="B40" s="1516"/>
      <c r="C40" s="1516"/>
      <c r="D40" s="1516"/>
      <c r="E40" s="1516"/>
      <c r="F40" s="1155"/>
      <c r="G40" s="1153"/>
      <c r="H40" s="1153"/>
      <c r="I40" s="1153"/>
      <c r="J40" s="1152"/>
      <c r="K40" s="1167"/>
      <c r="L40" s="1167" t="s">
        <v>508</v>
      </c>
    </row>
    <row r="41" spans="1:12" hidden="1">
      <c r="A41" s="240"/>
      <c r="B41" s="190"/>
      <c r="C41" s="191"/>
      <c r="D41" s="190"/>
      <c r="E41" s="190"/>
      <c r="F41" s="213"/>
      <c r="G41" s="214"/>
      <c r="H41" s="214"/>
      <c r="I41" s="214"/>
      <c r="J41" s="49"/>
      <c r="K41" s="49"/>
      <c r="L41" s="192"/>
    </row>
    <row r="42" spans="1:12" s="12" customFormat="1" ht="36.6" hidden="1" customHeight="1">
      <c r="A42" s="407" t="e">
        <f>L_CViec!#REF!</f>
        <v>#REF!</v>
      </c>
      <c r="B42" s="1527" t="e">
        <f>L_CViec!#REF!</f>
        <v>#REF!</v>
      </c>
      <c r="C42" s="1528"/>
      <c r="D42" s="1528"/>
      <c r="E42" s="1528"/>
      <c r="F42" s="1528"/>
      <c r="G42" s="1528"/>
      <c r="H42" s="1528"/>
      <c r="I42" s="1529"/>
      <c r="J42" s="405"/>
      <c r="K42" s="405"/>
      <c r="L42" s="406" t="s">
        <v>509</v>
      </c>
    </row>
    <row r="43" spans="1:12" hidden="1">
      <c r="A43" s="41"/>
      <c r="B43" s="42"/>
      <c r="C43" s="8"/>
      <c r="D43" s="8"/>
      <c r="E43" s="9"/>
      <c r="F43" s="52"/>
      <c r="G43" s="485"/>
      <c r="H43" s="485"/>
      <c r="I43" s="485"/>
      <c r="J43" s="185"/>
      <c r="K43" s="185"/>
      <c r="L43" s="17"/>
    </row>
    <row r="44" spans="1:12" hidden="1">
      <c r="A44" s="41">
        <v>2</v>
      </c>
      <c r="B44" s="42" t="s">
        <v>367</v>
      </c>
      <c r="C44" s="8" t="s">
        <v>366</v>
      </c>
      <c r="D44" s="8">
        <v>96</v>
      </c>
      <c r="E44" s="9">
        <f>'Gia_Dcu-Tbi-Vlieu'!$E$6</f>
        <v>568000</v>
      </c>
      <c r="F44" s="52">
        <f t="shared" ref="F44:F57" si="9">E44/D44/26</f>
        <v>227.56410256410257</v>
      </c>
      <c r="G44" s="485">
        <v>1.373</v>
      </c>
      <c r="H44" s="485">
        <v>1.143</v>
      </c>
      <c r="I44" s="485">
        <v>0.16800000000000001</v>
      </c>
      <c r="J44" s="185">
        <f t="shared" ref="J44:J58" si="10">$F44*G44</f>
        <v>312.44551282051282</v>
      </c>
      <c r="K44" s="185">
        <f>$F44*H44</f>
        <v>260.10576923076923</v>
      </c>
      <c r="L44" s="17">
        <f t="shared" ref="L44:L58" si="11">$F44*I44</f>
        <v>38.230769230769234</v>
      </c>
    </row>
    <row r="45" spans="1:12" hidden="1">
      <c r="A45" s="41">
        <v>3</v>
      </c>
      <c r="B45" s="42" t="s">
        <v>49</v>
      </c>
      <c r="C45" s="8" t="s">
        <v>366</v>
      </c>
      <c r="D45" s="8">
        <v>96</v>
      </c>
      <c r="E45" s="9">
        <f>'Gia_Dcu-Tbi-Vlieu'!$E$7</f>
        <v>1620000</v>
      </c>
      <c r="F45" s="52">
        <f t="shared" si="9"/>
        <v>649.03846153846155</v>
      </c>
      <c r="G45" s="485">
        <v>1.373</v>
      </c>
      <c r="H45" s="485">
        <v>1.143</v>
      </c>
      <c r="I45" s="485">
        <v>0.16800000000000001</v>
      </c>
      <c r="J45" s="185">
        <f t="shared" si="10"/>
        <v>891.12980769230774</v>
      </c>
      <c r="K45" s="185">
        <f>$F45*H45</f>
        <v>741.85096153846155</v>
      </c>
      <c r="L45" s="17">
        <f t="shared" si="11"/>
        <v>109.03846153846155</v>
      </c>
    </row>
    <row r="46" spans="1:12" hidden="1">
      <c r="A46" s="41">
        <v>4</v>
      </c>
      <c r="B46" s="42" t="s">
        <v>368</v>
      </c>
      <c r="C46" s="8" t="s">
        <v>366</v>
      </c>
      <c r="D46" s="8">
        <v>60</v>
      </c>
      <c r="E46" s="9">
        <f>'Gia_Dcu-Tbi-Vlieu'!$E$8</f>
        <v>3500000</v>
      </c>
      <c r="F46" s="52">
        <f t="shared" si="9"/>
        <v>2243.5897435897436</v>
      </c>
      <c r="G46" s="485">
        <v>0.74299999999999999</v>
      </c>
      <c r="H46" s="485">
        <v>0.90800000000000003</v>
      </c>
      <c r="I46" s="485">
        <v>0.16800000000000001</v>
      </c>
      <c r="J46" s="185">
        <f t="shared" si="10"/>
        <v>1666.9871794871794</v>
      </c>
      <c r="K46" s="185">
        <f>$F46*H46</f>
        <v>2037.1794871794873</v>
      </c>
      <c r="L46" s="17">
        <f t="shared" si="11"/>
        <v>376.92307692307696</v>
      </c>
    </row>
    <row r="47" spans="1:12" hidden="1">
      <c r="A47" s="41"/>
      <c r="B47" s="42"/>
      <c r="C47" s="8"/>
      <c r="D47" s="8"/>
      <c r="E47" s="9"/>
      <c r="F47" s="52"/>
      <c r="G47" s="485"/>
      <c r="H47" s="485"/>
      <c r="I47" s="485"/>
      <c r="J47" s="185"/>
      <c r="K47" s="185"/>
      <c r="L47" s="17"/>
    </row>
    <row r="48" spans="1:12" hidden="1">
      <c r="A48" s="41"/>
      <c r="B48" s="42"/>
      <c r="C48" s="8"/>
      <c r="D48" s="8"/>
      <c r="E48" s="9"/>
      <c r="F48" s="52"/>
      <c r="G48" s="485"/>
      <c r="H48" s="485"/>
      <c r="I48" s="485"/>
      <c r="J48" s="185"/>
      <c r="K48" s="185"/>
      <c r="L48" s="17"/>
    </row>
    <row r="49" spans="1:13" hidden="1">
      <c r="A49" s="41">
        <v>7</v>
      </c>
      <c r="B49" s="42" t="s">
        <v>371</v>
      </c>
      <c r="C49" s="8" t="s">
        <v>366</v>
      </c>
      <c r="D49" s="8">
        <v>12</v>
      </c>
      <c r="E49" s="9">
        <f>'Gia_Dcu-Tbi-Vlieu'!$E$11</f>
        <v>1125000</v>
      </c>
      <c r="F49" s="52">
        <f t="shared" si="9"/>
        <v>3605.7692307692309</v>
      </c>
      <c r="G49" s="485">
        <v>5.0000000000000001E-3</v>
      </c>
      <c r="H49" s="485">
        <v>2E-3</v>
      </c>
      <c r="I49" s="485">
        <v>1E-3</v>
      </c>
      <c r="J49" s="185">
        <f t="shared" si="10"/>
        <v>18.028846153846157</v>
      </c>
      <c r="K49" s="185">
        <f>$F49*H49</f>
        <v>7.2115384615384617</v>
      </c>
      <c r="L49" s="17">
        <f t="shared" si="11"/>
        <v>3.6057692307692308</v>
      </c>
    </row>
    <row r="50" spans="1:13" hidden="1">
      <c r="A50" s="41">
        <v>8</v>
      </c>
      <c r="B50" s="42" t="s">
        <v>372</v>
      </c>
      <c r="C50" s="8" t="s">
        <v>366</v>
      </c>
      <c r="D50" s="8">
        <v>12</v>
      </c>
      <c r="E50" s="9">
        <f>'Gia_Dcu-Tbi-Vlieu'!$E$12</f>
        <v>15000</v>
      </c>
      <c r="F50" s="52">
        <f t="shared" si="9"/>
        <v>48.07692307692308</v>
      </c>
      <c r="G50" s="485">
        <v>2.5000000000000001E-2</v>
      </c>
      <c r="H50" s="485">
        <v>1.0999999999999999E-2</v>
      </c>
      <c r="I50" s="485">
        <v>5.0000000000000001E-3</v>
      </c>
      <c r="J50" s="185">
        <f t="shared" si="10"/>
        <v>1.2019230769230771</v>
      </c>
      <c r="K50" s="185">
        <f>$F50*H50</f>
        <v>0.52884615384615385</v>
      </c>
      <c r="L50" s="17">
        <f t="shared" si="11"/>
        <v>0.24038461538461542</v>
      </c>
    </row>
    <row r="51" spans="1:13" hidden="1">
      <c r="A51" s="41">
        <v>9</v>
      </c>
      <c r="B51" s="42" t="s">
        <v>373</v>
      </c>
      <c r="C51" s="8" t="s">
        <v>366</v>
      </c>
      <c r="D51" s="8">
        <v>12</v>
      </c>
      <c r="E51" s="9">
        <f>'Gia_Dcu-Tbi-Vlieu'!$E$13</f>
        <v>530000</v>
      </c>
      <c r="F51" s="52">
        <f t="shared" si="9"/>
        <v>1698.7179487179487</v>
      </c>
      <c r="G51" s="485">
        <v>7.3999999999999996E-2</v>
      </c>
      <c r="H51" s="485">
        <v>3.1E-2</v>
      </c>
      <c r="I51" s="485">
        <v>2E-3</v>
      </c>
      <c r="J51" s="185">
        <f t="shared" si="10"/>
        <v>125.7051282051282</v>
      </c>
      <c r="K51" s="185">
        <f>$F51*H51</f>
        <v>52.660256410256409</v>
      </c>
      <c r="L51" s="17">
        <f t="shared" si="11"/>
        <v>3.3974358974358974</v>
      </c>
    </row>
    <row r="52" spans="1:13" hidden="1">
      <c r="A52" s="41">
        <v>10</v>
      </c>
      <c r="B52" s="42" t="s">
        <v>374</v>
      </c>
      <c r="C52" s="8" t="s">
        <v>366</v>
      </c>
      <c r="D52" s="8">
        <v>9</v>
      </c>
      <c r="E52" s="9">
        <f>'Gia_Dcu-Tbi-Vlieu'!$E$14</f>
        <v>30000</v>
      </c>
      <c r="F52" s="52">
        <f t="shared" si="9"/>
        <v>128.2051282051282</v>
      </c>
      <c r="G52" s="485">
        <v>3.5000000000000003E-2</v>
      </c>
      <c r="H52" s="485">
        <v>1.4999999999999999E-2</v>
      </c>
      <c r="I52" s="485">
        <v>1E-3</v>
      </c>
      <c r="J52" s="185">
        <f t="shared" si="10"/>
        <v>4.4871794871794872</v>
      </c>
      <c r="K52" s="185">
        <f>$F52*H52</f>
        <v>1.9230769230769229</v>
      </c>
      <c r="L52" s="17">
        <f t="shared" si="11"/>
        <v>0.12820512820512819</v>
      </c>
    </row>
    <row r="53" spans="1:13" hidden="1">
      <c r="A53" s="41"/>
      <c r="B53" s="42"/>
      <c r="C53" s="8"/>
      <c r="D53" s="8"/>
      <c r="E53" s="9"/>
      <c r="F53" s="52"/>
      <c r="G53" s="485"/>
      <c r="H53" s="485"/>
      <c r="I53" s="485"/>
      <c r="J53" s="185"/>
      <c r="K53" s="185"/>
      <c r="L53" s="17"/>
    </row>
    <row r="54" spans="1:13" hidden="1">
      <c r="A54" s="41"/>
      <c r="B54" s="42"/>
      <c r="C54" s="8"/>
      <c r="D54" s="8"/>
      <c r="E54" s="9"/>
      <c r="F54" s="52"/>
      <c r="G54" s="485"/>
      <c r="H54" s="485"/>
      <c r="I54" s="485"/>
      <c r="J54" s="185"/>
      <c r="K54" s="185"/>
      <c r="L54" s="17"/>
    </row>
    <row r="55" spans="1:13" hidden="1">
      <c r="A55" s="41">
        <v>13</v>
      </c>
      <c r="B55" s="42" t="s">
        <v>377</v>
      </c>
      <c r="C55" s="8" t="s">
        <v>366</v>
      </c>
      <c r="D55" s="8">
        <v>12</v>
      </c>
      <c r="E55" s="9">
        <f>'Gia_Dcu-Tbi-Vlieu'!$E$18</f>
        <v>85000</v>
      </c>
      <c r="F55" s="52">
        <f t="shared" si="9"/>
        <v>272.4358974358974</v>
      </c>
      <c r="G55" s="485">
        <v>7.3999999999999996E-2</v>
      </c>
      <c r="H55" s="485">
        <v>3.2000000000000001E-2</v>
      </c>
      <c r="I55" s="485">
        <v>2E-3</v>
      </c>
      <c r="J55" s="185">
        <f t="shared" si="10"/>
        <v>20.160256410256405</v>
      </c>
      <c r="K55" s="185">
        <f>$F55*H55</f>
        <v>8.7179487179487172</v>
      </c>
      <c r="L55" s="17">
        <f t="shared" si="11"/>
        <v>0.54487179487179482</v>
      </c>
    </row>
    <row r="56" spans="1:13" hidden="1">
      <c r="A56" s="41">
        <v>14</v>
      </c>
      <c r="B56" s="42" t="s">
        <v>378</v>
      </c>
      <c r="C56" s="8" t="s">
        <v>366</v>
      </c>
      <c r="D56" s="8">
        <v>36</v>
      </c>
      <c r="E56" s="9">
        <f>'Gia_Dcu-Tbi-Vlieu'!$E$19</f>
        <v>795000</v>
      </c>
      <c r="F56" s="52">
        <f t="shared" si="9"/>
        <v>849.35897435897436</v>
      </c>
      <c r="G56" s="485">
        <v>0.53100000000000003</v>
      </c>
      <c r="H56" s="485">
        <v>0.45400000000000001</v>
      </c>
      <c r="I56" s="485">
        <v>8.4000000000000005E-2</v>
      </c>
      <c r="J56" s="185">
        <f>$F56*G56</f>
        <v>451.00961538461542</v>
      </c>
      <c r="K56" s="185">
        <f>$F56*H56</f>
        <v>385.60897435897436</v>
      </c>
      <c r="L56" s="17">
        <f t="shared" si="11"/>
        <v>71.346153846153854</v>
      </c>
    </row>
    <row r="57" spans="1:13" hidden="1">
      <c r="A57" s="41">
        <v>15</v>
      </c>
      <c r="B57" s="42" t="s">
        <v>379</v>
      </c>
      <c r="C57" s="8" t="s">
        <v>380</v>
      </c>
      <c r="D57" s="8">
        <v>30</v>
      </c>
      <c r="E57" s="9">
        <f>'Gia_Dcu-Tbi-Vlieu'!$E$20</f>
        <v>212000</v>
      </c>
      <c r="F57" s="52">
        <f t="shared" si="9"/>
        <v>271.79487179487182</v>
      </c>
      <c r="G57" s="485">
        <v>1.373</v>
      </c>
      <c r="H57" s="485">
        <v>1.143</v>
      </c>
      <c r="I57" s="485">
        <v>0.16800000000000001</v>
      </c>
      <c r="J57" s="185">
        <f t="shared" si="10"/>
        <v>373.174358974359</v>
      </c>
      <c r="K57" s="185">
        <f>$F57*H57</f>
        <v>310.6615384615385</v>
      </c>
      <c r="L57" s="17">
        <f t="shared" si="11"/>
        <v>45.66153846153847</v>
      </c>
    </row>
    <row r="58" spans="1:13" s="43" customFormat="1" hidden="1">
      <c r="A58" s="419">
        <v>16</v>
      </c>
      <c r="B58" s="420" t="s">
        <v>18</v>
      </c>
      <c r="C58" s="261" t="s">
        <v>381</v>
      </c>
      <c r="D58" s="262">
        <v>1</v>
      </c>
      <c r="E58" s="421">
        <f>'Gia_Dcu-Tbi-Vlieu'!$E$21</f>
        <v>2204.0655000000002</v>
      </c>
      <c r="F58" s="422">
        <f>D58*E58</f>
        <v>2204.0655000000002</v>
      </c>
      <c r="G58" s="486">
        <v>0.86399999999999999</v>
      </c>
      <c r="H58" s="486">
        <v>0.72899999999999998</v>
      </c>
      <c r="I58" s="486">
        <v>0.121</v>
      </c>
      <c r="J58" s="423">
        <f t="shared" si="10"/>
        <v>1904.3125920000002</v>
      </c>
      <c r="K58" s="423">
        <f>$F58*H58</f>
        <v>1606.7637495000001</v>
      </c>
      <c r="L58" s="424">
        <f t="shared" si="11"/>
        <v>266.69192550000002</v>
      </c>
    </row>
    <row r="59" spans="1:13" s="15" customFormat="1" hidden="1">
      <c r="A59" s="411"/>
      <c r="B59" s="412" t="s">
        <v>580</v>
      </c>
      <c r="C59" s="413"/>
      <c r="D59" s="414"/>
      <c r="E59" s="415"/>
      <c r="F59" s="416"/>
      <c r="G59" s="487"/>
      <c r="H59" s="487"/>
      <c r="I59" s="488">
        <v>1</v>
      </c>
      <c r="J59" s="417">
        <f>SUM(J43:J57)*$I59</f>
        <v>3864.3298076923079</v>
      </c>
      <c r="K59" s="417">
        <f>SUM(K43:K57)*$I59</f>
        <v>3806.4483974358977</v>
      </c>
      <c r="L59" s="418">
        <f>SUM(L43:L57)*$I59</f>
        <v>649.11666666666679</v>
      </c>
    </row>
    <row r="60" spans="1:13" hidden="1">
      <c r="A60" s="199"/>
      <c r="B60" s="408" t="s">
        <v>332</v>
      </c>
      <c r="C60" s="201"/>
      <c r="D60" s="200"/>
      <c r="E60" s="200"/>
      <c r="F60" s="409"/>
      <c r="G60" s="426"/>
      <c r="H60" s="200"/>
      <c r="I60" s="489"/>
      <c r="J60" s="489"/>
      <c r="K60" s="489"/>
      <c r="L60" s="410"/>
      <c r="M60" s="40"/>
    </row>
    <row r="61" spans="1:13" hidden="1">
      <c r="A61" s="41"/>
      <c r="B61" s="209" t="s">
        <v>510</v>
      </c>
      <c r="C61" s="196"/>
      <c r="D61" s="195"/>
      <c r="E61" s="195"/>
      <c r="F61" s="210"/>
      <c r="G61" s="9"/>
      <c r="H61" s="195"/>
      <c r="I61" s="490"/>
      <c r="J61" s="490"/>
      <c r="K61" s="490"/>
      <c r="L61" s="189"/>
      <c r="M61" s="40"/>
    </row>
    <row r="62" spans="1:13" s="15" customFormat="1" hidden="1">
      <c r="A62" s="239"/>
      <c r="B62" s="10" t="s">
        <v>122</v>
      </c>
      <c r="C62" s="187"/>
      <c r="D62" s="10"/>
      <c r="E62" s="218"/>
      <c r="F62" s="218"/>
      <c r="G62" s="218">
        <v>0.9</v>
      </c>
      <c r="H62" s="218">
        <v>1</v>
      </c>
      <c r="I62" s="218">
        <v>1</v>
      </c>
      <c r="J62" s="186">
        <f t="shared" ref="J62:J71" si="12">G62*J$59</f>
        <v>3477.8968269230772</v>
      </c>
      <c r="K62" s="186">
        <f t="shared" ref="K62:K71" si="13">H62*K$59</f>
        <v>3806.4483974358977</v>
      </c>
      <c r="L62" s="18">
        <f t="shared" ref="L62:L71" si="14">I62*L$59</f>
        <v>649.11666666666679</v>
      </c>
    </row>
    <row r="63" spans="1:13" s="15" customFormat="1" hidden="1">
      <c r="A63" s="239"/>
      <c r="B63" s="10" t="s">
        <v>123</v>
      </c>
      <c r="C63" s="10"/>
      <c r="D63" s="10"/>
      <c r="E63" s="218"/>
      <c r="F63" s="218"/>
      <c r="G63" s="218">
        <v>1</v>
      </c>
      <c r="H63" s="218">
        <v>1</v>
      </c>
      <c r="I63" s="218">
        <v>1</v>
      </c>
      <c r="J63" s="186">
        <f t="shared" si="12"/>
        <v>3864.3298076923079</v>
      </c>
      <c r="K63" s="186">
        <f t="shared" si="13"/>
        <v>3806.4483974358977</v>
      </c>
      <c r="L63" s="18">
        <f t="shared" si="14"/>
        <v>649.11666666666679</v>
      </c>
    </row>
    <row r="64" spans="1:13" s="15" customFormat="1" hidden="1">
      <c r="A64" s="239"/>
      <c r="B64" s="10" t="s">
        <v>421</v>
      </c>
      <c r="C64" s="10"/>
      <c r="D64" s="10"/>
      <c r="E64" s="218"/>
      <c r="F64" s="218"/>
      <c r="G64" s="218">
        <v>1.1000000000000001</v>
      </c>
      <c r="H64" s="218">
        <v>1</v>
      </c>
      <c r="I64" s="218">
        <v>1</v>
      </c>
      <c r="J64" s="186">
        <f t="shared" si="12"/>
        <v>4250.7627884615395</v>
      </c>
      <c r="K64" s="186">
        <f t="shared" si="13"/>
        <v>3806.4483974358977</v>
      </c>
      <c r="L64" s="18">
        <f t="shared" si="14"/>
        <v>649.11666666666679</v>
      </c>
    </row>
    <row r="65" spans="1:14" s="15" customFormat="1" hidden="1">
      <c r="A65" s="241"/>
      <c r="B65" s="10" t="s">
        <v>422</v>
      </c>
      <c r="C65" s="215"/>
      <c r="D65" s="209"/>
      <c r="E65" s="209"/>
      <c r="F65" s="216"/>
      <c r="G65" s="218">
        <v>1.2</v>
      </c>
      <c r="H65" s="218">
        <v>1</v>
      </c>
      <c r="I65" s="218">
        <v>1</v>
      </c>
      <c r="J65" s="13">
        <f t="shared" si="12"/>
        <v>4637.1957692307697</v>
      </c>
      <c r="K65" s="13">
        <f t="shared" si="13"/>
        <v>3806.4483974358977</v>
      </c>
      <c r="L65" s="217">
        <f t="shared" si="14"/>
        <v>649.11666666666679</v>
      </c>
    </row>
    <row r="66" spans="1:14" ht="95.25" hidden="1" customHeight="1">
      <c r="A66" s="41"/>
      <c r="B66" s="1494" t="s">
        <v>419</v>
      </c>
      <c r="C66" s="1495"/>
      <c r="D66" s="1495"/>
      <c r="E66" s="1495"/>
      <c r="F66" s="1496"/>
      <c r="G66" s="490">
        <v>1.6</v>
      </c>
      <c r="H66" s="490">
        <v>1.6</v>
      </c>
      <c r="I66" s="490">
        <v>1.6</v>
      </c>
      <c r="J66" s="9">
        <f t="shared" si="12"/>
        <v>6182.9276923076932</v>
      </c>
      <c r="K66" s="9">
        <f t="shared" si="13"/>
        <v>6090.3174358974366</v>
      </c>
      <c r="L66" s="189">
        <f t="shared" si="14"/>
        <v>1038.5866666666668</v>
      </c>
    </row>
    <row r="67" spans="1:14" ht="42.75" hidden="1" customHeight="1">
      <c r="A67" s="41"/>
      <c r="B67" s="1494" t="s">
        <v>423</v>
      </c>
      <c r="C67" s="1495"/>
      <c r="D67" s="1495"/>
      <c r="E67" s="1495"/>
      <c r="F67" s="1496"/>
      <c r="G67" s="491">
        <v>1.0029999999999999</v>
      </c>
      <c r="H67" s="491">
        <v>1.0029999999999999</v>
      </c>
      <c r="I67" s="491">
        <v>1.0029999999999999</v>
      </c>
      <c r="J67" s="9">
        <f t="shared" si="12"/>
        <v>3875.9227971153846</v>
      </c>
      <c r="K67" s="9">
        <f t="shared" si="13"/>
        <v>3817.8677426282052</v>
      </c>
      <c r="L67" s="189">
        <f t="shared" si="14"/>
        <v>651.0640166666667</v>
      </c>
    </row>
    <row r="68" spans="1:14" ht="56.25" hidden="1" customHeight="1">
      <c r="A68" s="41"/>
      <c r="B68" s="1494" t="s">
        <v>424</v>
      </c>
      <c r="C68" s="1495"/>
      <c r="D68" s="1495"/>
      <c r="E68" s="1495"/>
      <c r="F68" s="1496"/>
      <c r="G68" s="490"/>
      <c r="H68" s="490"/>
      <c r="I68" s="490"/>
      <c r="J68" s="9">
        <f t="shared" si="12"/>
        <v>0</v>
      </c>
      <c r="K68" s="9">
        <f t="shared" si="13"/>
        <v>0</v>
      </c>
      <c r="L68" s="189">
        <f t="shared" si="14"/>
        <v>0</v>
      </c>
    </row>
    <row r="69" spans="1:14" ht="39" hidden="1" customHeight="1">
      <c r="A69" s="41"/>
      <c r="B69" s="1494" t="s">
        <v>425</v>
      </c>
      <c r="C69" s="1495"/>
      <c r="D69" s="1495"/>
      <c r="E69" s="1495"/>
      <c r="F69" s="1496"/>
      <c r="G69" s="490">
        <v>0.5</v>
      </c>
      <c r="H69" s="490">
        <v>0.5</v>
      </c>
      <c r="I69" s="490">
        <v>0.5</v>
      </c>
      <c r="J69" s="9">
        <f t="shared" si="12"/>
        <v>1932.1649038461539</v>
      </c>
      <c r="K69" s="9">
        <f t="shared" si="13"/>
        <v>1903.2241987179489</v>
      </c>
      <c r="L69" s="189">
        <f t="shared" si="14"/>
        <v>324.55833333333339</v>
      </c>
    </row>
    <row r="70" spans="1:14" ht="51.75" hidden="1" customHeight="1">
      <c r="A70" s="41"/>
      <c r="B70" s="1494" t="s">
        <v>426</v>
      </c>
      <c r="C70" s="1495"/>
      <c r="D70" s="1495"/>
      <c r="E70" s="1495"/>
      <c r="F70" s="1496"/>
      <c r="G70" s="490">
        <v>0.9</v>
      </c>
      <c r="H70" s="490">
        <v>0.9</v>
      </c>
      <c r="I70" s="490">
        <v>0.9</v>
      </c>
      <c r="J70" s="9">
        <f t="shared" si="12"/>
        <v>3477.8968269230772</v>
      </c>
      <c r="K70" s="9">
        <f t="shared" si="13"/>
        <v>3425.803557692308</v>
      </c>
      <c r="L70" s="189">
        <f t="shared" si="14"/>
        <v>584.20500000000015</v>
      </c>
    </row>
    <row r="71" spans="1:14" ht="69.75" hidden="1" customHeight="1">
      <c r="A71" s="41"/>
      <c r="B71" s="1494" t="s">
        <v>427</v>
      </c>
      <c r="C71" s="1495"/>
      <c r="D71" s="1495"/>
      <c r="E71" s="1495"/>
      <c r="F71" s="1496"/>
      <c r="G71" s="490">
        <v>0.3</v>
      </c>
      <c r="H71" s="490">
        <v>0.3</v>
      </c>
      <c r="I71" s="490">
        <v>0.3</v>
      </c>
      <c r="J71" s="9">
        <f t="shared" si="12"/>
        <v>1159.2989423076924</v>
      </c>
      <c r="K71" s="9">
        <f t="shared" si="13"/>
        <v>1141.9345192307692</v>
      </c>
      <c r="L71" s="189">
        <f t="shared" si="14"/>
        <v>194.73500000000004</v>
      </c>
    </row>
    <row r="72" spans="1:14" ht="16.5" hidden="1" thickBot="1">
      <c r="A72" s="240"/>
      <c r="B72" s="190"/>
      <c r="C72" s="191"/>
      <c r="D72" s="190"/>
      <c r="E72" s="190"/>
      <c r="F72" s="213"/>
      <c r="G72" s="214"/>
      <c r="H72" s="214"/>
      <c r="I72" s="214"/>
      <c r="J72" s="49"/>
      <c r="K72" s="401"/>
      <c r="L72" s="1147"/>
    </row>
    <row r="73" spans="1:14" s="174" customFormat="1" ht="15.6" customHeight="1">
      <c r="A73" s="1468" t="s">
        <v>24</v>
      </c>
      <c r="B73" s="1470" t="s">
        <v>2</v>
      </c>
      <c r="C73" s="1470" t="s">
        <v>39</v>
      </c>
      <c r="D73" s="1470" t="s">
        <v>112</v>
      </c>
      <c r="E73" s="1470" t="s">
        <v>31</v>
      </c>
      <c r="F73" s="1472" t="s">
        <v>28</v>
      </c>
      <c r="G73" s="1545" t="s">
        <v>361</v>
      </c>
      <c r="H73" s="1546"/>
      <c r="I73" s="1546"/>
      <c r="J73" s="1547"/>
      <c r="K73" s="1499" t="s">
        <v>36</v>
      </c>
      <c r="L73" s="1504"/>
      <c r="M73" s="1165"/>
      <c r="N73" s="1166"/>
    </row>
    <row r="74" spans="1:14" s="174" customFormat="1" ht="47.45" customHeight="1">
      <c r="A74" s="1514"/>
      <c r="B74" s="1490"/>
      <c r="C74" s="1490"/>
      <c r="D74" s="1490"/>
      <c r="E74" s="1490"/>
      <c r="F74" s="1476"/>
      <c r="G74" s="1502" t="s">
        <v>758</v>
      </c>
      <c r="H74" s="1503"/>
      <c r="I74" s="1502"/>
      <c r="J74" s="1503"/>
      <c r="K74" s="1502" t="s">
        <v>758</v>
      </c>
      <c r="L74" s="1503"/>
      <c r="M74" s="1499"/>
      <c r="N74" s="1500"/>
    </row>
    <row r="75" spans="1:14" s="174" customFormat="1" ht="57" hidden="1" customHeight="1">
      <c r="A75" s="1515"/>
      <c r="B75" s="1501"/>
      <c r="C75" s="1501"/>
      <c r="D75" s="1501"/>
      <c r="E75" s="1501"/>
      <c r="F75" s="1526"/>
      <c r="G75" s="219" t="s">
        <v>362</v>
      </c>
      <c r="H75" s="219" t="s">
        <v>363</v>
      </c>
      <c r="I75" s="219" t="s">
        <v>362</v>
      </c>
      <c r="J75" s="219"/>
      <c r="K75" s="1505" t="s">
        <v>362</v>
      </c>
      <c r="L75" s="1506"/>
      <c r="M75" s="221"/>
      <c r="N75" s="220"/>
    </row>
    <row r="76" spans="1:14" s="12" customFormat="1" ht="36.6" customHeight="1">
      <c r="A76" s="407" t="str">
        <f>L_CViec!A93</f>
        <v>II</v>
      </c>
      <c r="B76" s="1527" t="str">
        <f>L_CViec!B93</f>
        <v>Đăng ký, cấp Giấy chứng nhận lần đầu đơn lẻ đối với hộ gia đình, cá nhân, cộng đồng dân cư, tổ chức trong nước, người gốc Việt Nam định cư ở nước ngoài tại địa bàn cấp xã, phường</v>
      </c>
      <c r="C76" s="1528"/>
      <c r="D76" s="1528"/>
      <c r="E76" s="1528"/>
      <c r="F76" s="1528"/>
      <c r="G76" s="1528"/>
      <c r="H76" s="1528"/>
      <c r="I76" s="1529"/>
      <c r="J76" s="425"/>
      <c r="K76" s="1167"/>
      <c r="L76" s="1168"/>
      <c r="M76" s="405"/>
      <c r="N76" s="406"/>
    </row>
    <row r="77" spans="1:14" ht="22.5" customHeight="1">
      <c r="A77" s="41">
        <v>1</v>
      </c>
      <c r="B77" s="42" t="s">
        <v>367</v>
      </c>
      <c r="C77" s="8" t="s">
        <v>366</v>
      </c>
      <c r="D77" s="8">
        <v>96</v>
      </c>
      <c r="E77" s="9">
        <f>'Gia_Dcu-Tbi-Vlieu'!$E$6</f>
        <v>568000</v>
      </c>
      <c r="F77" s="52">
        <f t="shared" ref="F77:F84" si="15">E77/D77/26</f>
        <v>227.56410256410257</v>
      </c>
      <c r="G77" s="1169">
        <v>3.14</v>
      </c>
      <c r="H77" s="1170"/>
      <c r="I77" s="485"/>
      <c r="J77" s="485"/>
      <c r="K77" s="185">
        <f t="shared" ref="K77:K85" si="16">$F77*G77</f>
        <v>714.5512820512821</v>
      </c>
      <c r="L77" s="185"/>
      <c r="M77" s="222"/>
      <c r="N77" s="17"/>
    </row>
    <row r="78" spans="1:14" ht="22.5" customHeight="1">
      <c r="A78" s="41">
        <v>2</v>
      </c>
      <c r="B78" s="42" t="s">
        <v>49</v>
      </c>
      <c r="C78" s="8" t="s">
        <v>366</v>
      </c>
      <c r="D78" s="8">
        <v>96</v>
      </c>
      <c r="E78" s="9">
        <f>'Gia_Dcu-Tbi-Vlieu'!$E$7</f>
        <v>1620000</v>
      </c>
      <c r="F78" s="52">
        <f t="shared" si="15"/>
        <v>649.03846153846155</v>
      </c>
      <c r="G78" s="1169">
        <v>3.41</v>
      </c>
      <c r="H78" s="1170"/>
      <c r="I78" s="485"/>
      <c r="J78" s="485"/>
      <c r="K78" s="185">
        <f t="shared" si="16"/>
        <v>2213.2211538461538</v>
      </c>
      <c r="L78" s="185"/>
      <c r="M78" s="222"/>
      <c r="N78" s="17"/>
    </row>
    <row r="79" spans="1:14" ht="22.5" customHeight="1">
      <c r="A79" s="41">
        <v>3</v>
      </c>
      <c r="B79" s="42" t="s">
        <v>368</v>
      </c>
      <c r="C79" s="8" t="s">
        <v>366</v>
      </c>
      <c r="D79" s="8">
        <v>96</v>
      </c>
      <c r="E79" s="9">
        <f>'Gia_Dcu-Tbi-Vlieu'!$E$8</f>
        <v>3500000</v>
      </c>
      <c r="F79" s="52">
        <f t="shared" si="15"/>
        <v>1402.2435897435898</v>
      </c>
      <c r="G79" s="1169">
        <v>2.74</v>
      </c>
      <c r="H79" s="1170"/>
      <c r="I79" s="485"/>
      <c r="J79" s="485"/>
      <c r="K79" s="185">
        <f t="shared" si="16"/>
        <v>3842.1474358974365</v>
      </c>
      <c r="L79" s="185"/>
      <c r="M79" s="222"/>
      <c r="N79" s="17"/>
    </row>
    <row r="80" spans="1:14" ht="22.5" customHeight="1">
      <c r="A80" s="41">
        <v>4</v>
      </c>
      <c r="B80" s="42" t="s">
        <v>372</v>
      </c>
      <c r="C80" s="8" t="s">
        <v>366</v>
      </c>
      <c r="D80" s="8">
        <v>12</v>
      </c>
      <c r="E80" s="9">
        <f>'Gia_Dcu-Tbi-Vlieu'!$E$12</f>
        <v>15000</v>
      </c>
      <c r="F80" s="52">
        <f t="shared" si="15"/>
        <v>48.07692307692308</v>
      </c>
      <c r="G80" s="1169">
        <v>0.02</v>
      </c>
      <c r="H80" s="1170"/>
      <c r="I80" s="485"/>
      <c r="J80" s="485" t="s">
        <v>727</v>
      </c>
      <c r="K80" s="185">
        <f t="shared" si="16"/>
        <v>0.96153846153846168</v>
      </c>
      <c r="L80" s="185"/>
      <c r="M80" s="222"/>
      <c r="N80" s="17"/>
    </row>
    <row r="81" spans="1:14" ht="22.5" customHeight="1">
      <c r="A81" s="41">
        <v>5</v>
      </c>
      <c r="B81" s="42" t="s">
        <v>374</v>
      </c>
      <c r="C81" s="8" t="s">
        <v>366</v>
      </c>
      <c r="D81" s="8">
        <v>9</v>
      </c>
      <c r="E81" s="9">
        <f>'Gia_Dcu-Tbi-Vlieu'!$E$14</f>
        <v>30000</v>
      </c>
      <c r="F81" s="52">
        <f t="shared" si="15"/>
        <v>128.2051282051282</v>
      </c>
      <c r="G81" s="1169">
        <v>1.4999999999999999E-2</v>
      </c>
      <c r="H81" s="1170"/>
      <c r="I81" s="485"/>
      <c r="J81" s="485"/>
      <c r="K81" s="185">
        <f t="shared" si="16"/>
        <v>1.9230769230769229</v>
      </c>
      <c r="L81" s="185"/>
      <c r="M81" s="222"/>
      <c r="N81" s="17"/>
    </row>
    <row r="82" spans="1:14" ht="22.5" customHeight="1">
      <c r="A82" s="41">
        <v>6</v>
      </c>
      <c r="B82" s="42" t="s">
        <v>377</v>
      </c>
      <c r="C82" s="8" t="s">
        <v>366</v>
      </c>
      <c r="D82" s="8">
        <v>12</v>
      </c>
      <c r="E82" s="9">
        <f>'Gia_Dcu-Tbi-Vlieu'!$E$18</f>
        <v>85000</v>
      </c>
      <c r="F82" s="52">
        <f t="shared" si="15"/>
        <v>272.4358974358974</v>
      </c>
      <c r="G82" s="1169">
        <v>0.1</v>
      </c>
      <c r="H82" s="1170"/>
      <c r="I82" s="485"/>
      <c r="J82" s="485"/>
      <c r="K82" s="185">
        <f t="shared" si="16"/>
        <v>27.243589743589741</v>
      </c>
      <c r="L82" s="185"/>
      <c r="M82" s="222"/>
      <c r="N82" s="17"/>
    </row>
    <row r="83" spans="1:14" ht="22.5" customHeight="1">
      <c r="A83" s="41">
        <v>7</v>
      </c>
      <c r="B83" s="42" t="s">
        <v>378</v>
      </c>
      <c r="C83" s="8" t="s">
        <v>366</v>
      </c>
      <c r="D83" s="8">
        <v>36</v>
      </c>
      <c r="E83" s="9">
        <f>'Gia_Dcu-Tbi-Vlieu'!$E$19</f>
        <v>795000</v>
      </c>
      <c r="F83" s="52">
        <f t="shared" si="15"/>
        <v>849.35897435897436</v>
      </c>
      <c r="G83" s="1169">
        <v>1.8</v>
      </c>
      <c r="H83" s="1170"/>
      <c r="I83" s="485"/>
      <c r="J83" s="485"/>
      <c r="K83" s="185">
        <f t="shared" si="16"/>
        <v>1528.8461538461538</v>
      </c>
      <c r="L83" s="185"/>
      <c r="M83" s="222"/>
      <c r="N83" s="17"/>
    </row>
    <row r="84" spans="1:14" ht="22.5" customHeight="1">
      <c r="A84" s="41">
        <v>8</v>
      </c>
      <c r="B84" s="42" t="s">
        <v>379</v>
      </c>
      <c r="C84" s="8" t="s">
        <v>380</v>
      </c>
      <c r="D84" s="8">
        <v>30</v>
      </c>
      <c r="E84" s="9">
        <f>'Gia_Dcu-Tbi-Vlieu'!$E$20</f>
        <v>212000</v>
      </c>
      <c r="F84" s="52">
        <f t="shared" si="15"/>
        <v>271.79487179487182</v>
      </c>
      <c r="G84" s="1169">
        <v>2.74</v>
      </c>
      <c r="H84" s="1170"/>
      <c r="I84" s="485"/>
      <c r="J84" s="485"/>
      <c r="K84" s="185">
        <f t="shared" si="16"/>
        <v>744.71794871794884</v>
      </c>
      <c r="L84" s="185"/>
      <c r="M84" s="222"/>
      <c r="N84" s="17"/>
    </row>
    <row r="85" spans="1:14" ht="22.5" customHeight="1">
      <c r="A85" s="41">
        <v>9</v>
      </c>
      <c r="B85" s="1159" t="s">
        <v>18</v>
      </c>
      <c r="C85" s="48" t="s">
        <v>381</v>
      </c>
      <c r="D85" s="1160">
        <v>1</v>
      </c>
      <c r="E85" s="49">
        <f>'Gia_Dcu-Tbi-Vlieu'!$E$21</f>
        <v>2204.0655000000002</v>
      </c>
      <c r="F85" s="1161">
        <f>D85*E85</f>
        <v>2204.0655000000002</v>
      </c>
      <c r="G85" s="1169">
        <v>2.3170000000000002</v>
      </c>
      <c r="H85" s="1170"/>
      <c r="I85" s="1162"/>
      <c r="J85" s="1163"/>
      <c r="K85" s="1163">
        <f t="shared" si="16"/>
        <v>5106.8197635000006</v>
      </c>
      <c r="L85" s="1163"/>
      <c r="M85" s="190">
        <f>$F85*I85</f>
        <v>0</v>
      </c>
      <c r="N85" s="1164"/>
    </row>
    <row r="86" spans="1:14" s="15" customFormat="1" ht="34.5" customHeight="1">
      <c r="A86" s="411"/>
      <c r="B86" s="412" t="s">
        <v>764</v>
      </c>
      <c r="C86" s="1491">
        <v>1.05</v>
      </c>
      <c r="D86" s="1492"/>
      <c r="E86" s="1492"/>
      <c r="F86" s="1492"/>
      <c r="G86" s="1492"/>
      <c r="H86" s="1493"/>
      <c r="I86" s="488"/>
      <c r="J86" s="417"/>
      <c r="K86" s="417">
        <f>SUM(K77:K84)*C86+K85</f>
        <v>14634.112551961542</v>
      </c>
      <c r="L86" s="417">
        <f>SUM(L77:L84)*$I86</f>
        <v>0</v>
      </c>
      <c r="M86" s="428">
        <f>SUM(M77:M84)*$I86</f>
        <v>0</v>
      </c>
      <c r="N86" s="429">
        <f>SUM(N77:N84)*$I86</f>
        <v>0</v>
      </c>
    </row>
    <row r="87" spans="1:14" ht="22.5" customHeight="1">
      <c r="A87" s="199"/>
      <c r="B87" s="408" t="s">
        <v>332</v>
      </c>
      <c r="C87" s="201"/>
      <c r="D87" s="200"/>
      <c r="E87" s="200"/>
      <c r="F87" s="409"/>
      <c r="G87" s="426"/>
      <c r="H87" s="200"/>
      <c r="I87" s="489"/>
      <c r="J87" s="489"/>
      <c r="K87" s="489"/>
      <c r="L87" s="430"/>
      <c r="M87" s="430"/>
      <c r="N87" s="431"/>
    </row>
    <row r="88" spans="1:14" ht="22.5" customHeight="1">
      <c r="A88" s="41"/>
      <c r="B88" s="1494" t="s">
        <v>428</v>
      </c>
      <c r="C88" s="1495"/>
      <c r="D88" s="1495"/>
      <c r="E88" s="1495"/>
      <c r="F88" s="1496"/>
      <c r="G88" s="9"/>
      <c r="H88" s="195"/>
      <c r="I88" s="195"/>
      <c r="J88" s="490"/>
      <c r="K88" s="490"/>
      <c r="L88" s="490"/>
      <c r="M88" s="492"/>
      <c r="N88" s="189"/>
    </row>
    <row r="89" spans="1:14" s="15" customFormat="1" ht="51.75" customHeight="1">
      <c r="A89" s="432"/>
      <c r="B89" s="1511" t="s">
        <v>429</v>
      </c>
      <c r="C89" s="1512"/>
      <c r="D89" s="1512"/>
      <c r="E89" s="1512"/>
      <c r="F89" s="1513"/>
      <c r="G89" s="1172">
        <v>1.3</v>
      </c>
      <c r="H89" s="1172"/>
      <c r="I89" s="1172"/>
      <c r="J89" s="1172"/>
      <c r="K89" s="401">
        <f>G89*K86</f>
        <v>19024.346317550004</v>
      </c>
      <c r="L89" s="401">
        <f>H89*L86</f>
        <v>0</v>
      </c>
      <c r="M89" s="1173">
        <f>I89*M86</f>
        <v>0</v>
      </c>
      <c r="N89" s="1147">
        <f>J89*N86</f>
        <v>0</v>
      </c>
    </row>
    <row r="90" spans="1:14" s="15" customFormat="1" ht="51.75" customHeight="1">
      <c r="A90" s="1507" t="s">
        <v>24</v>
      </c>
      <c r="B90" s="1507" t="s">
        <v>2</v>
      </c>
      <c r="C90" s="1507" t="s">
        <v>39</v>
      </c>
      <c r="D90" s="1507" t="s">
        <v>112</v>
      </c>
      <c r="E90" s="1507" t="s">
        <v>31</v>
      </c>
      <c r="F90" s="1508" t="s">
        <v>28</v>
      </c>
      <c r="G90" s="1509" t="s">
        <v>361</v>
      </c>
      <c r="H90" s="1509"/>
      <c r="I90" s="1509"/>
      <c r="J90" s="1510" t="s">
        <v>36</v>
      </c>
      <c r="K90" s="1510"/>
      <c r="L90" s="1510"/>
      <c r="M90" s="40"/>
      <c r="N90" s="40"/>
    </row>
    <row r="91" spans="1:14" s="15" customFormat="1" ht="65.25" customHeight="1">
      <c r="A91" s="1507"/>
      <c r="B91" s="1507"/>
      <c r="C91" s="1507"/>
      <c r="D91" s="1507"/>
      <c r="E91" s="1507"/>
      <c r="F91" s="1508"/>
      <c r="G91" s="1174" t="s">
        <v>752</v>
      </c>
      <c r="H91" s="1174" t="s">
        <v>363</v>
      </c>
      <c r="I91" s="1174" t="s">
        <v>364</v>
      </c>
      <c r="J91" s="1174" t="s">
        <v>752</v>
      </c>
      <c r="K91" s="1037" t="s">
        <v>363</v>
      </c>
      <c r="L91" s="1037" t="s">
        <v>364</v>
      </c>
      <c r="M91" s="40"/>
      <c r="N91" s="40"/>
    </row>
    <row r="92" spans="1:14" s="12" customFormat="1" ht="36.6" customHeight="1">
      <c r="A92" s="830" t="str">
        <f>L_CViec!A161</f>
        <v>III</v>
      </c>
      <c r="B92" s="1552" t="str">
        <f>L_CViec!B161</f>
        <v>Định mức lao động đăng ký, cấp Giấy chứng nhận lần đầu đối với tổ chức (trừ trường hợp thuộc thẩm quyền quyết định của UBND xã, phường), tổ chức tôn giáo, tổ chức tôn giáo trực thuộc đang sử dụng đất</v>
      </c>
      <c r="C92" s="1552"/>
      <c r="D92" s="1552"/>
      <c r="E92" s="1552"/>
      <c r="F92" s="1552"/>
      <c r="G92" s="1552"/>
      <c r="H92" s="1552"/>
      <c r="I92" s="1552"/>
      <c r="J92" s="1175"/>
      <c r="K92" s="1175"/>
      <c r="L92" s="1176" t="s">
        <v>515</v>
      </c>
    </row>
    <row r="93" spans="1:14" ht="20.25" customHeight="1">
      <c r="A93" s="444">
        <v>1</v>
      </c>
      <c r="B93" s="981" t="s">
        <v>367</v>
      </c>
      <c r="C93" s="838" t="s">
        <v>366</v>
      </c>
      <c r="D93" s="838">
        <v>96</v>
      </c>
      <c r="E93" s="498">
        <f>'Gia_Dcu-Tbi-Vlieu'!$E$6</f>
        <v>568000</v>
      </c>
      <c r="F93" s="840">
        <f t="shared" ref="F93:F99" si="17">E93/D93/26</f>
        <v>227.56410256410257</v>
      </c>
      <c r="G93" s="1157">
        <v>1.0169999999999999</v>
      </c>
      <c r="H93" s="1157"/>
      <c r="I93" s="1157">
        <v>3.7850000000000001</v>
      </c>
      <c r="J93" s="1177">
        <f t="shared" ref="J93:L95" si="18">$F93*G93</f>
        <v>231.43269230769229</v>
      </c>
      <c r="K93" s="498">
        <f t="shared" si="18"/>
        <v>0</v>
      </c>
      <c r="L93" s="840">
        <f t="shared" si="18"/>
        <v>861.33012820512829</v>
      </c>
    </row>
    <row r="94" spans="1:14" ht="20.25" customHeight="1">
      <c r="A94" s="444">
        <v>2</v>
      </c>
      <c r="B94" s="981" t="s">
        <v>49</v>
      </c>
      <c r="C94" s="838" t="s">
        <v>366</v>
      </c>
      <c r="D94" s="838">
        <v>96</v>
      </c>
      <c r="E94" s="498">
        <f>'Gia_Dcu-Tbi-Vlieu'!$E$7</f>
        <v>1620000</v>
      </c>
      <c r="F94" s="840">
        <f t="shared" si="17"/>
        <v>649.03846153846155</v>
      </c>
      <c r="G94" s="1157">
        <v>1.0169999999999999</v>
      </c>
      <c r="H94" s="1157"/>
      <c r="I94" s="1157">
        <v>3.7850000000000001</v>
      </c>
      <c r="J94" s="1177">
        <f t="shared" si="18"/>
        <v>660.07211538461536</v>
      </c>
      <c r="K94" s="498">
        <f t="shared" si="18"/>
        <v>0</v>
      </c>
      <c r="L94" s="840">
        <f t="shared" si="18"/>
        <v>2456.6105769230771</v>
      </c>
    </row>
    <row r="95" spans="1:14" ht="20.25" customHeight="1">
      <c r="A95" s="444">
        <v>3</v>
      </c>
      <c r="B95" s="981" t="s">
        <v>368</v>
      </c>
      <c r="C95" s="838" t="s">
        <v>366</v>
      </c>
      <c r="D95" s="838">
        <v>96</v>
      </c>
      <c r="E95" s="498">
        <f>'Gia_Dcu-Tbi-Vlieu'!$E$8</f>
        <v>3500000</v>
      </c>
      <c r="F95" s="840">
        <f t="shared" si="17"/>
        <v>1402.2435897435898</v>
      </c>
      <c r="G95" s="1157">
        <v>1.0169999999999999</v>
      </c>
      <c r="H95" s="1157"/>
      <c r="I95" s="1157">
        <v>2.9849999999999999</v>
      </c>
      <c r="J95" s="1177">
        <f t="shared" si="18"/>
        <v>1426.0817307692307</v>
      </c>
      <c r="K95" s="498">
        <f t="shared" si="18"/>
        <v>0</v>
      </c>
      <c r="L95" s="840">
        <f t="shared" si="18"/>
        <v>4185.6971153846152</v>
      </c>
    </row>
    <row r="96" spans="1:14" ht="20.25" customHeight="1">
      <c r="A96" s="444">
        <v>4</v>
      </c>
      <c r="B96" s="981" t="s">
        <v>372</v>
      </c>
      <c r="C96" s="838" t="s">
        <v>366</v>
      </c>
      <c r="D96" s="838">
        <v>12</v>
      </c>
      <c r="E96" s="498">
        <f>'Gia_Dcu-Tbi-Vlieu'!$E$12</f>
        <v>15000</v>
      </c>
      <c r="F96" s="840">
        <f t="shared" si="17"/>
        <v>48.07692307692308</v>
      </c>
      <c r="G96" s="1157"/>
      <c r="H96" s="1157"/>
      <c r="I96" s="1157">
        <v>0.01</v>
      </c>
      <c r="J96" s="1177">
        <f>$F96*G96</f>
        <v>0</v>
      </c>
      <c r="K96" s="498">
        <f>$F96*H96</f>
        <v>0</v>
      </c>
      <c r="L96" s="840">
        <f>$F96*I96</f>
        <v>0.48076923076923084</v>
      </c>
    </row>
    <row r="97" spans="1:13" ht="20.25" customHeight="1">
      <c r="A97" s="444">
        <v>5</v>
      </c>
      <c r="B97" s="981" t="s">
        <v>377</v>
      </c>
      <c r="C97" s="838" t="s">
        <v>366</v>
      </c>
      <c r="D97" s="838">
        <v>12</v>
      </c>
      <c r="E97" s="498">
        <f>'Gia_Dcu-Tbi-Vlieu'!$E$18</f>
        <v>85000</v>
      </c>
      <c r="F97" s="840">
        <f t="shared" si="17"/>
        <v>272.4358974358974</v>
      </c>
      <c r="G97" s="1157"/>
      <c r="H97" s="1157"/>
      <c r="I97" s="1157">
        <v>0.1</v>
      </c>
      <c r="J97" s="1177">
        <f t="shared" ref="J97:L100" si="19">$F97*G97</f>
        <v>0</v>
      </c>
      <c r="K97" s="498">
        <f t="shared" si="19"/>
        <v>0</v>
      </c>
      <c r="L97" s="840">
        <f t="shared" si="19"/>
        <v>27.243589743589741</v>
      </c>
    </row>
    <row r="98" spans="1:13" ht="20.25" customHeight="1">
      <c r="A98" s="444">
        <v>6</v>
      </c>
      <c r="B98" s="981" t="s">
        <v>378</v>
      </c>
      <c r="C98" s="838" t="s">
        <v>366</v>
      </c>
      <c r="D98" s="838">
        <v>36</v>
      </c>
      <c r="E98" s="498">
        <f>'Gia_Dcu-Tbi-Vlieu'!$E$19</f>
        <v>795000</v>
      </c>
      <c r="F98" s="840">
        <f t="shared" si="17"/>
        <v>849.35897435897436</v>
      </c>
      <c r="G98" s="1157">
        <v>0.254</v>
      </c>
      <c r="H98" s="1157"/>
      <c r="I98" s="1157">
        <v>1.492</v>
      </c>
      <c r="J98" s="1177">
        <f t="shared" si="19"/>
        <v>215.7371794871795</v>
      </c>
      <c r="K98" s="498">
        <f t="shared" si="19"/>
        <v>0</v>
      </c>
      <c r="L98" s="840">
        <f t="shared" si="19"/>
        <v>1267.2435897435898</v>
      </c>
    </row>
    <row r="99" spans="1:13" ht="20.25" customHeight="1">
      <c r="A99" s="444">
        <v>7</v>
      </c>
      <c r="B99" s="981" t="s">
        <v>379</v>
      </c>
      <c r="C99" s="838" t="s">
        <v>380</v>
      </c>
      <c r="D99" s="838">
        <v>30</v>
      </c>
      <c r="E99" s="498">
        <f>'Gia_Dcu-Tbi-Vlieu'!$E$20</f>
        <v>212000</v>
      </c>
      <c r="F99" s="840">
        <f t="shared" si="17"/>
        <v>271.79487179487182</v>
      </c>
      <c r="G99" s="1157">
        <v>1.0169999999999999</v>
      </c>
      <c r="H99" s="1157"/>
      <c r="I99" s="1157">
        <v>3.7850000000000001</v>
      </c>
      <c r="J99" s="1177">
        <f t="shared" si="19"/>
        <v>276.4153846153846</v>
      </c>
      <c r="K99" s="498">
        <f t="shared" si="19"/>
        <v>0</v>
      </c>
      <c r="L99" s="840">
        <f t="shared" si="19"/>
        <v>1028.7435897435898</v>
      </c>
    </row>
    <row r="100" spans="1:13" ht="20.25" customHeight="1">
      <c r="A100" s="444">
        <v>8</v>
      </c>
      <c r="B100" s="981" t="s">
        <v>18</v>
      </c>
      <c r="C100" s="838" t="s">
        <v>381</v>
      </c>
      <c r="D100" s="985">
        <v>1</v>
      </c>
      <c r="E100" s="498">
        <f>'Gia_Dcu-Tbi-Vlieu'!$E$21</f>
        <v>2204.0655000000002</v>
      </c>
      <c r="F100" s="840">
        <f>D100*E100</f>
        <v>2204.0655000000002</v>
      </c>
      <c r="G100" s="1178">
        <v>0.53900000000000003</v>
      </c>
      <c r="H100" s="1178"/>
      <c r="I100" s="1178">
        <v>2.4049999999999998</v>
      </c>
      <c r="J100" s="1179">
        <f t="shared" si="19"/>
        <v>1187.9913045000001</v>
      </c>
      <c r="K100" s="841">
        <f t="shared" si="19"/>
        <v>0</v>
      </c>
      <c r="L100" s="840">
        <f t="shared" si="19"/>
        <v>5300.7775275000004</v>
      </c>
    </row>
    <row r="101" spans="1:13" s="15" customFormat="1" ht="33" customHeight="1">
      <c r="A101" s="1180"/>
      <c r="B101" s="412" t="s">
        <v>764</v>
      </c>
      <c r="C101" s="438"/>
      <c r="D101" s="439"/>
      <c r="E101" s="427"/>
      <c r="F101" s="440"/>
      <c r="G101" s="496"/>
      <c r="H101" s="496"/>
      <c r="I101" s="488">
        <v>1</v>
      </c>
      <c r="J101" s="441">
        <f>SUM(J93:J99)*$I101+J100</f>
        <v>3997.7304070641021</v>
      </c>
      <c r="K101" s="441">
        <f>SUM(K93:K99)*$I101+K100</f>
        <v>0</v>
      </c>
      <c r="L101" s="441">
        <f>SUM(L93:L99)*$I101+L100</f>
        <v>15128.12688647436</v>
      </c>
    </row>
    <row r="102" spans="1:13" ht="20.25" customHeight="1">
      <c r="A102" s="199"/>
      <c r="B102" s="408" t="s">
        <v>332</v>
      </c>
      <c r="C102" s="201"/>
      <c r="D102" s="200"/>
      <c r="E102" s="200"/>
      <c r="F102" s="409"/>
      <c r="G102" s="426"/>
      <c r="H102" s="200"/>
      <c r="I102" s="489"/>
      <c r="J102" s="489"/>
      <c r="K102" s="489"/>
      <c r="L102" s="410"/>
      <c r="M102" s="40"/>
    </row>
    <row r="103" spans="1:13" ht="20.25" customHeight="1">
      <c r="A103" s="41"/>
      <c r="B103" s="1494" t="s">
        <v>428</v>
      </c>
      <c r="C103" s="1495"/>
      <c r="D103" s="1495"/>
      <c r="E103" s="1495"/>
      <c r="F103" s="1496"/>
      <c r="G103" s="491"/>
      <c r="H103" s="491"/>
      <c r="I103" s="491"/>
      <c r="J103" s="9"/>
      <c r="K103" s="9"/>
      <c r="L103" s="189"/>
    </row>
    <row r="104" spans="1:13" ht="46.5" customHeight="1">
      <c r="A104" s="41"/>
      <c r="B104" s="1494" t="s">
        <v>437</v>
      </c>
      <c r="C104" s="1495"/>
      <c r="D104" s="1495"/>
      <c r="E104" s="1495"/>
      <c r="F104" s="1496"/>
      <c r="G104" s="491">
        <v>1.3</v>
      </c>
      <c r="H104" s="491"/>
      <c r="I104" s="491">
        <v>1.3</v>
      </c>
      <c r="J104" s="9">
        <f>G104*J101</f>
        <v>5197.0495291833331</v>
      </c>
      <c r="K104" s="9">
        <f>H104*K101</f>
        <v>0</v>
      </c>
      <c r="L104" s="189">
        <f>I104*L101</f>
        <v>19666.564952416669</v>
      </c>
    </row>
    <row r="105" spans="1:13" ht="16.5" thickBot="1">
      <c r="A105" s="240"/>
      <c r="B105" s="190"/>
      <c r="C105" s="191"/>
      <c r="D105" s="190"/>
      <c r="E105" s="190"/>
      <c r="F105" s="213"/>
      <c r="G105" s="234"/>
      <c r="H105" s="234"/>
      <c r="I105" s="234"/>
      <c r="J105" s="49"/>
      <c r="K105" s="49"/>
      <c r="L105" s="192"/>
    </row>
    <row r="106" spans="1:13" ht="15.75" customHeight="1">
      <c r="A106" s="1468" t="s">
        <v>24</v>
      </c>
      <c r="B106" s="1470" t="s">
        <v>2</v>
      </c>
      <c r="C106" s="1470" t="s">
        <v>39</v>
      </c>
      <c r="D106" s="1470" t="s">
        <v>112</v>
      </c>
      <c r="E106" s="1470" t="s">
        <v>415</v>
      </c>
      <c r="F106" s="1472" t="s">
        <v>28</v>
      </c>
      <c r="G106" s="1498" t="s">
        <v>361</v>
      </c>
      <c r="H106" s="1498"/>
      <c r="I106" s="1498"/>
      <c r="J106" s="1482" t="s">
        <v>36</v>
      </c>
      <c r="K106" s="1482"/>
      <c r="L106" s="1483"/>
    </row>
    <row r="107" spans="1:13" ht="63" customHeight="1">
      <c r="A107" s="1469"/>
      <c r="B107" s="1471"/>
      <c r="C107" s="1471"/>
      <c r="D107" s="1471"/>
      <c r="E107" s="1471"/>
      <c r="F107" s="1473"/>
      <c r="G107" s="325" t="s">
        <v>752</v>
      </c>
      <c r="H107" s="325" t="s">
        <v>363</v>
      </c>
      <c r="I107" s="325" t="s">
        <v>364</v>
      </c>
      <c r="J107" s="325" t="s">
        <v>752</v>
      </c>
      <c r="K107" s="326" t="s">
        <v>363</v>
      </c>
      <c r="L107" s="327" t="s">
        <v>364</v>
      </c>
    </row>
    <row r="108" spans="1:13" s="12" customFormat="1" ht="36.6" customHeight="1">
      <c r="A108" s="407" t="str">
        <f>L_CViec!A209</f>
        <v>IV</v>
      </c>
      <c r="B108" s="1527" t="str">
        <f>L_CViec!B209</f>
        <v>Định mức lao động đăng ký, cấp đổi Giấy chứng nhận đồng loạt tại xã, phường</v>
      </c>
      <c r="C108" s="1528"/>
      <c r="D108" s="1528"/>
      <c r="E108" s="1528"/>
      <c r="F108" s="1528"/>
      <c r="G108" s="1528"/>
      <c r="H108" s="1528"/>
      <c r="I108" s="1529"/>
      <c r="J108" s="405"/>
      <c r="K108" s="405"/>
      <c r="L108" s="406" t="s">
        <v>511</v>
      </c>
    </row>
    <row r="109" spans="1:13" ht="17.25" customHeight="1">
      <c r="A109" s="41">
        <v>1</v>
      </c>
      <c r="B109" s="42" t="s">
        <v>367</v>
      </c>
      <c r="C109" s="8" t="s">
        <v>366</v>
      </c>
      <c r="D109" s="8">
        <v>96</v>
      </c>
      <c r="E109" s="9">
        <f>'Gia_Dcu-Tbi-Vlieu'!$E$6</f>
        <v>568000</v>
      </c>
      <c r="F109" s="52">
        <f t="shared" ref="F109:F118" si="20">E109/D109/26</f>
        <v>227.56410256410257</v>
      </c>
      <c r="G109" s="485">
        <v>1.4990000000000001</v>
      </c>
      <c r="H109" s="485"/>
      <c r="I109" s="485">
        <v>0.17899999999999999</v>
      </c>
      <c r="J109" s="185">
        <f t="shared" ref="J109:L111" si="21">$F109*G109</f>
        <v>341.11858974358978</v>
      </c>
      <c r="K109" s="185">
        <f t="shared" si="21"/>
        <v>0</v>
      </c>
      <c r="L109" s="17">
        <f t="shared" si="21"/>
        <v>40.733974358974358</v>
      </c>
    </row>
    <row r="110" spans="1:13" ht="17.25" customHeight="1">
      <c r="A110" s="41">
        <v>2</v>
      </c>
      <c r="B110" s="42" t="s">
        <v>49</v>
      </c>
      <c r="C110" s="8" t="s">
        <v>366</v>
      </c>
      <c r="D110" s="8">
        <v>96</v>
      </c>
      <c r="E110" s="9">
        <f>'Gia_Dcu-Tbi-Vlieu'!$E$7</f>
        <v>1620000</v>
      </c>
      <c r="F110" s="52">
        <f t="shared" si="20"/>
        <v>649.03846153846155</v>
      </c>
      <c r="G110" s="485">
        <v>1.4990000000000001</v>
      </c>
      <c r="H110" s="485"/>
      <c r="I110" s="485">
        <v>0.17899999999999999</v>
      </c>
      <c r="J110" s="185">
        <f t="shared" si="21"/>
        <v>972.90865384615392</v>
      </c>
      <c r="K110" s="185">
        <f t="shared" si="21"/>
        <v>0</v>
      </c>
      <c r="L110" s="17">
        <f t="shared" si="21"/>
        <v>116.17788461538461</v>
      </c>
    </row>
    <row r="111" spans="1:13" ht="17.25" customHeight="1">
      <c r="A111" s="41">
        <v>3</v>
      </c>
      <c r="B111" s="42" t="s">
        <v>368</v>
      </c>
      <c r="C111" s="8" t="s">
        <v>366</v>
      </c>
      <c r="D111" s="8">
        <v>96</v>
      </c>
      <c r="E111" s="9">
        <f>'Gia_Dcu-Tbi-Vlieu'!$E$8</f>
        <v>3500000</v>
      </c>
      <c r="F111" s="52">
        <f t="shared" si="20"/>
        <v>1402.2435897435898</v>
      </c>
      <c r="G111" s="485">
        <v>1.0069999999999999</v>
      </c>
      <c r="H111" s="485"/>
      <c r="I111" s="485">
        <v>0.17899999999999999</v>
      </c>
      <c r="J111" s="185">
        <f t="shared" si="21"/>
        <v>1412.0592948717949</v>
      </c>
      <c r="K111" s="185">
        <f t="shared" si="21"/>
        <v>0</v>
      </c>
      <c r="L111" s="17">
        <f t="shared" si="21"/>
        <v>251.00160256410257</v>
      </c>
    </row>
    <row r="112" spans="1:13" ht="17.25" customHeight="1">
      <c r="A112" s="41">
        <v>4</v>
      </c>
      <c r="B112" s="42" t="s">
        <v>371</v>
      </c>
      <c r="C112" s="8" t="s">
        <v>366</v>
      </c>
      <c r="D112" s="8">
        <v>12</v>
      </c>
      <c r="E112" s="9">
        <f>'Gia_Dcu-Tbi-Vlieu'!$E$11</f>
        <v>1125000</v>
      </c>
      <c r="F112" s="52">
        <f t="shared" si="20"/>
        <v>3605.7692307692309</v>
      </c>
      <c r="G112" s="485">
        <v>4.0000000000000001E-3</v>
      </c>
      <c r="H112" s="485"/>
      <c r="I112" s="485">
        <v>1E-3</v>
      </c>
      <c r="J112" s="185">
        <f t="shared" ref="J112:L115" si="22">$F112*G112</f>
        <v>14.423076923076923</v>
      </c>
      <c r="K112" s="185">
        <f t="shared" si="22"/>
        <v>0</v>
      </c>
      <c r="L112" s="17">
        <f t="shared" si="22"/>
        <v>3.6057692307692308</v>
      </c>
    </row>
    <row r="113" spans="1:13" ht="17.25" customHeight="1">
      <c r="A113" s="41">
        <v>5</v>
      </c>
      <c r="B113" s="42" t="s">
        <v>372</v>
      </c>
      <c r="C113" s="8" t="s">
        <v>366</v>
      </c>
      <c r="D113" s="8">
        <v>12</v>
      </c>
      <c r="E113" s="9">
        <f>'Gia_Dcu-Tbi-Vlieu'!$E$12</f>
        <v>15000</v>
      </c>
      <c r="F113" s="52">
        <f t="shared" si="20"/>
        <v>48.07692307692308</v>
      </c>
      <c r="G113" s="485">
        <v>1.7000000000000001E-2</v>
      </c>
      <c r="H113" s="485"/>
      <c r="I113" s="485">
        <v>2E-3</v>
      </c>
      <c r="J113" s="185">
        <f t="shared" si="22"/>
        <v>0.8173076923076924</v>
      </c>
      <c r="K113" s="185">
        <f t="shared" si="22"/>
        <v>0</v>
      </c>
      <c r="L113" s="17">
        <f t="shared" si="22"/>
        <v>9.6153846153846159E-2</v>
      </c>
    </row>
    <row r="114" spans="1:13" ht="17.25" customHeight="1">
      <c r="A114" s="41">
        <v>6</v>
      </c>
      <c r="B114" s="42" t="s">
        <v>373</v>
      </c>
      <c r="C114" s="8" t="s">
        <v>366</v>
      </c>
      <c r="D114" s="8">
        <v>12</v>
      </c>
      <c r="E114" s="9">
        <f>'Gia_Dcu-Tbi-Vlieu'!$E$13</f>
        <v>530000</v>
      </c>
      <c r="F114" s="52">
        <f t="shared" si="20"/>
        <v>1698.7179487179487</v>
      </c>
      <c r="G114" s="485">
        <v>0.05</v>
      </c>
      <c r="H114" s="485"/>
      <c r="I114" s="485">
        <v>1E-3</v>
      </c>
      <c r="J114" s="185">
        <f t="shared" si="22"/>
        <v>84.935897435897445</v>
      </c>
      <c r="K114" s="185">
        <f t="shared" si="22"/>
        <v>0</v>
      </c>
      <c r="L114" s="17">
        <f t="shared" si="22"/>
        <v>1.6987179487179487</v>
      </c>
    </row>
    <row r="115" spans="1:13" ht="17.25" customHeight="1">
      <c r="A115" s="41">
        <v>7</v>
      </c>
      <c r="B115" s="42" t="s">
        <v>374</v>
      </c>
      <c r="C115" s="8" t="s">
        <v>366</v>
      </c>
      <c r="D115" s="8">
        <v>9</v>
      </c>
      <c r="E115" s="9">
        <f>'Gia_Dcu-Tbi-Vlieu'!$E$14</f>
        <v>30000</v>
      </c>
      <c r="F115" s="52">
        <f t="shared" si="20"/>
        <v>128.2051282051282</v>
      </c>
      <c r="G115" s="485">
        <v>2.4E-2</v>
      </c>
      <c r="H115" s="485"/>
      <c r="I115" s="485">
        <v>1E-3</v>
      </c>
      <c r="J115" s="185">
        <f t="shared" si="22"/>
        <v>3.0769230769230771</v>
      </c>
      <c r="K115" s="185">
        <f t="shared" si="22"/>
        <v>0</v>
      </c>
      <c r="L115" s="17">
        <f t="shared" si="22"/>
        <v>0.12820512820512819</v>
      </c>
    </row>
    <row r="116" spans="1:13" ht="17.25" customHeight="1">
      <c r="A116" s="41">
        <v>8</v>
      </c>
      <c r="B116" s="42" t="s">
        <v>377</v>
      </c>
      <c r="C116" s="8" t="s">
        <v>366</v>
      </c>
      <c r="D116" s="8">
        <v>12</v>
      </c>
      <c r="E116" s="9">
        <f>'Gia_Dcu-Tbi-Vlieu'!$E$18</f>
        <v>85000</v>
      </c>
      <c r="F116" s="52">
        <f t="shared" si="20"/>
        <v>272.4358974358974</v>
      </c>
      <c r="G116" s="485">
        <v>4.9000000000000002E-2</v>
      </c>
      <c r="H116" s="485"/>
      <c r="I116" s="485">
        <v>0</v>
      </c>
      <c r="J116" s="185">
        <f t="shared" ref="J116:L119" si="23">$F116*G116</f>
        <v>13.349358974358973</v>
      </c>
      <c r="K116" s="185">
        <f t="shared" si="23"/>
        <v>0</v>
      </c>
      <c r="L116" s="17">
        <f t="shared" si="23"/>
        <v>0</v>
      </c>
    </row>
    <row r="117" spans="1:13" ht="17.25" customHeight="1">
      <c r="A117" s="41">
        <v>9</v>
      </c>
      <c r="B117" s="42" t="s">
        <v>378</v>
      </c>
      <c r="C117" s="8" t="s">
        <v>366</v>
      </c>
      <c r="D117" s="8">
        <v>36</v>
      </c>
      <c r="E117" s="9">
        <f>'Gia_Dcu-Tbi-Vlieu'!$E$19</f>
        <v>795000</v>
      </c>
      <c r="F117" s="52">
        <f t="shared" si="20"/>
        <v>849.35897435897436</v>
      </c>
      <c r="G117" s="485">
        <v>0.70499999999999996</v>
      </c>
      <c r="H117" s="485"/>
      <c r="I117" s="485">
        <v>0.125</v>
      </c>
      <c r="J117" s="185">
        <f t="shared" si="23"/>
        <v>598.79807692307691</v>
      </c>
      <c r="K117" s="185">
        <f t="shared" si="23"/>
        <v>0</v>
      </c>
      <c r="L117" s="17">
        <f t="shared" si="23"/>
        <v>106.1698717948718</v>
      </c>
    </row>
    <row r="118" spans="1:13" ht="17.25" customHeight="1">
      <c r="A118" s="41">
        <v>10</v>
      </c>
      <c r="B118" s="42" t="s">
        <v>379</v>
      </c>
      <c r="C118" s="8" t="s">
        <v>380</v>
      </c>
      <c r="D118" s="8">
        <v>30</v>
      </c>
      <c r="E118" s="9">
        <f>'Gia_Dcu-Tbi-Vlieu'!$E$20</f>
        <v>212000</v>
      </c>
      <c r="F118" s="52">
        <f t="shared" si="20"/>
        <v>271.79487179487182</v>
      </c>
      <c r="G118" s="485">
        <v>1.4990000000000001</v>
      </c>
      <c r="H118" s="485"/>
      <c r="I118" s="485">
        <v>0.17899999999999999</v>
      </c>
      <c r="J118" s="185">
        <f t="shared" si="23"/>
        <v>407.4205128205129</v>
      </c>
      <c r="K118" s="185">
        <f t="shared" si="23"/>
        <v>0</v>
      </c>
      <c r="L118" s="17">
        <f t="shared" si="23"/>
        <v>48.651282051282053</v>
      </c>
    </row>
    <row r="119" spans="1:13" ht="17.25" customHeight="1">
      <c r="A119" s="41">
        <v>11</v>
      </c>
      <c r="B119" s="1159" t="s">
        <v>18</v>
      </c>
      <c r="C119" s="48" t="s">
        <v>381</v>
      </c>
      <c r="D119" s="1160">
        <v>1</v>
      </c>
      <c r="E119" s="49">
        <f>'Gia_Dcu-Tbi-Vlieu'!$E$21</f>
        <v>2204.0655000000002</v>
      </c>
      <c r="F119" s="1161">
        <f>D119*E119</f>
        <v>2204.0655000000002</v>
      </c>
      <c r="G119" s="1162">
        <v>1.044</v>
      </c>
      <c r="H119" s="1162"/>
      <c r="I119" s="1356">
        <v>0.158</v>
      </c>
      <c r="J119" s="1163">
        <f t="shared" si="23"/>
        <v>2301.044382</v>
      </c>
      <c r="K119" s="1163">
        <f t="shared" si="23"/>
        <v>0</v>
      </c>
      <c r="L119" s="45">
        <f t="shared" si="23"/>
        <v>348.24234900000005</v>
      </c>
    </row>
    <row r="120" spans="1:13" s="15" customFormat="1" ht="32.25" customHeight="1">
      <c r="A120" s="411"/>
      <c r="B120" s="412" t="s">
        <v>764</v>
      </c>
      <c r="C120" s="413"/>
      <c r="D120" s="414"/>
      <c r="E120" s="415"/>
      <c r="F120" s="416"/>
      <c r="G120" s="487"/>
      <c r="H120" s="487"/>
      <c r="I120" s="488">
        <v>1</v>
      </c>
      <c r="J120" s="417">
        <f>SUM(J109:J118)*$I120+J119</f>
        <v>6149.9520743076928</v>
      </c>
      <c r="K120" s="417">
        <f>SUM(K109:K118)*$I120+K119</f>
        <v>0</v>
      </c>
      <c r="L120" s="417">
        <f>SUM(L109:L118)*$I120+L119</f>
        <v>916.50581053846167</v>
      </c>
    </row>
    <row r="121" spans="1:13" ht="17.25" customHeight="1">
      <c r="A121" s="199"/>
      <c r="B121" s="408" t="s">
        <v>332</v>
      </c>
      <c r="C121" s="201"/>
      <c r="D121" s="200"/>
      <c r="E121" s="200"/>
      <c r="F121" s="409"/>
      <c r="G121" s="426"/>
      <c r="H121" s="200"/>
      <c r="I121" s="489"/>
      <c r="J121" s="489"/>
      <c r="K121" s="489"/>
      <c r="L121" s="410"/>
      <c r="M121" s="40"/>
    </row>
    <row r="122" spans="1:13" ht="17.25" customHeight="1">
      <c r="A122" s="41"/>
      <c r="B122" s="209" t="s">
        <v>760</v>
      </c>
      <c r="C122" s="196"/>
      <c r="D122" s="195"/>
      <c r="E122" s="195"/>
      <c r="F122" s="210"/>
      <c r="G122" s="9"/>
      <c r="H122" s="195"/>
      <c r="I122" s="490"/>
      <c r="J122" s="490"/>
      <c r="K122" s="490"/>
      <c r="L122" s="189"/>
      <c r="M122" s="40"/>
    </row>
    <row r="123" spans="1:13" s="15" customFormat="1" ht="17.25" customHeight="1">
      <c r="A123" s="239"/>
      <c r="B123" s="10" t="s">
        <v>121</v>
      </c>
      <c r="C123" s="187"/>
      <c r="D123" s="10"/>
      <c r="E123" s="218"/>
      <c r="F123" s="218"/>
      <c r="G123" s="218">
        <v>0.9</v>
      </c>
      <c r="H123" s="218"/>
      <c r="I123" s="218">
        <v>1</v>
      </c>
      <c r="J123" s="186">
        <f t="shared" ref="J123:L130" si="24">G123*J$120</f>
        <v>5534.9568668769234</v>
      </c>
      <c r="K123" s="186">
        <f t="shared" si="24"/>
        <v>0</v>
      </c>
      <c r="L123" s="18">
        <f t="shared" si="24"/>
        <v>916.50581053846167</v>
      </c>
      <c r="M123" s="5"/>
    </row>
    <row r="124" spans="1:13" s="15" customFormat="1" ht="17.25" customHeight="1">
      <c r="A124" s="239"/>
      <c r="B124" s="10" t="s">
        <v>122</v>
      </c>
      <c r="C124" s="10"/>
      <c r="D124" s="10"/>
      <c r="E124" s="218"/>
      <c r="F124" s="218"/>
      <c r="G124" s="218">
        <v>1</v>
      </c>
      <c r="H124" s="218"/>
      <c r="I124" s="218">
        <v>1</v>
      </c>
      <c r="J124" s="186">
        <f t="shared" si="24"/>
        <v>6149.9520743076928</v>
      </c>
      <c r="K124" s="186">
        <f t="shared" si="24"/>
        <v>0</v>
      </c>
      <c r="L124" s="18">
        <f t="shared" si="24"/>
        <v>916.50581053846167</v>
      </c>
      <c r="M124" s="5"/>
    </row>
    <row r="125" spans="1:13" s="15" customFormat="1" ht="17.25" customHeight="1">
      <c r="A125" s="239"/>
      <c r="B125" s="10" t="s">
        <v>123</v>
      </c>
      <c r="C125" s="10"/>
      <c r="D125" s="10"/>
      <c r="E125" s="218"/>
      <c r="F125" s="218"/>
      <c r="G125" s="218">
        <v>1.1000000000000001</v>
      </c>
      <c r="H125" s="218"/>
      <c r="I125" s="218">
        <v>1</v>
      </c>
      <c r="J125" s="186">
        <f t="shared" si="24"/>
        <v>6764.9472817384631</v>
      </c>
      <c r="K125" s="186">
        <f t="shared" si="24"/>
        <v>0</v>
      </c>
      <c r="L125" s="18">
        <f t="shared" si="24"/>
        <v>916.50581053846167</v>
      </c>
      <c r="M125" s="5"/>
    </row>
    <row r="126" spans="1:13" ht="93.75" customHeight="1">
      <c r="A126" s="41"/>
      <c r="B126" s="1497" t="s">
        <v>439</v>
      </c>
      <c r="C126" s="1497"/>
      <c r="D126" s="1497"/>
      <c r="E126" s="1497"/>
      <c r="F126" s="1497"/>
      <c r="G126" s="1530">
        <v>1.3</v>
      </c>
      <c r="H126" s="1531"/>
      <c r="I126" s="1532"/>
      <c r="J126" s="9">
        <f t="shared" si="24"/>
        <v>7994.9376966000009</v>
      </c>
      <c r="K126" s="9">
        <f t="shared" si="24"/>
        <v>0</v>
      </c>
      <c r="L126" s="189"/>
    </row>
    <row r="127" spans="1:13" ht="51.75" customHeight="1">
      <c r="A127" s="41"/>
      <c r="B127" s="1497" t="s">
        <v>762</v>
      </c>
      <c r="C127" s="1497"/>
      <c r="D127" s="1497"/>
      <c r="E127" s="1497"/>
      <c r="F127" s="1497"/>
      <c r="G127" s="493">
        <v>1.0029999999999999</v>
      </c>
      <c r="H127" s="491">
        <v>1.0029999999999999</v>
      </c>
      <c r="I127" s="491">
        <v>1</v>
      </c>
      <c r="J127" s="9">
        <f t="shared" si="24"/>
        <v>6168.4019305306156</v>
      </c>
      <c r="K127" s="9">
        <f t="shared" si="24"/>
        <v>0</v>
      </c>
      <c r="L127" s="189">
        <f t="shared" si="24"/>
        <v>916.50581053846167</v>
      </c>
    </row>
    <row r="128" spans="1:13" ht="50.25" customHeight="1">
      <c r="A128" s="41"/>
      <c r="B128" s="1497" t="s">
        <v>761</v>
      </c>
      <c r="C128" s="1497"/>
      <c r="D128" s="1497"/>
      <c r="E128" s="1497"/>
      <c r="F128" s="1497"/>
      <c r="G128" s="490"/>
      <c r="H128" s="490"/>
      <c r="I128" s="490"/>
      <c r="J128" s="9">
        <f t="shared" si="24"/>
        <v>0</v>
      </c>
      <c r="K128" s="9">
        <f t="shared" si="24"/>
        <v>0</v>
      </c>
      <c r="L128" s="189">
        <f t="shared" si="24"/>
        <v>0</v>
      </c>
    </row>
    <row r="129" spans="1:12" ht="61.5" customHeight="1">
      <c r="A129" s="41"/>
      <c r="B129" s="1497" t="s">
        <v>440</v>
      </c>
      <c r="C129" s="1497"/>
      <c r="D129" s="1497"/>
      <c r="E129" s="1497"/>
      <c r="F129" s="1497"/>
      <c r="G129" s="490">
        <v>0.2</v>
      </c>
      <c r="H129" s="490"/>
      <c r="I129" s="490">
        <v>0.2</v>
      </c>
      <c r="J129" s="9">
        <f t="shared" si="24"/>
        <v>1229.9904148615387</v>
      </c>
      <c r="K129" s="9">
        <f t="shared" si="24"/>
        <v>0</v>
      </c>
      <c r="L129" s="189">
        <f t="shared" si="24"/>
        <v>183.30116210769233</v>
      </c>
    </row>
    <row r="130" spans="1:12" ht="50.25" customHeight="1">
      <c r="A130" s="41"/>
      <c r="B130" s="1497" t="s">
        <v>441</v>
      </c>
      <c r="C130" s="1497"/>
      <c r="D130" s="1497"/>
      <c r="E130" s="1497"/>
      <c r="F130" s="1497"/>
      <c r="G130" s="490">
        <v>0.9</v>
      </c>
      <c r="H130" s="490">
        <v>0.9</v>
      </c>
      <c r="I130" s="490">
        <v>0.9</v>
      </c>
      <c r="J130" s="9">
        <f t="shared" si="24"/>
        <v>5534.9568668769234</v>
      </c>
      <c r="K130" s="9">
        <f t="shared" si="24"/>
        <v>0</v>
      </c>
      <c r="L130" s="189">
        <f t="shared" si="24"/>
        <v>824.85522948461551</v>
      </c>
    </row>
    <row r="131" spans="1:12" ht="16.5" thickBot="1">
      <c r="A131" s="240"/>
      <c r="B131" s="190"/>
      <c r="C131" s="191"/>
      <c r="D131" s="190"/>
      <c r="E131" s="190"/>
      <c r="F131" s="213"/>
      <c r="G131" s="214"/>
      <c r="H131" s="214"/>
      <c r="I131" s="214"/>
      <c r="J131" s="49"/>
      <c r="K131" s="49"/>
      <c r="L131" s="192"/>
    </row>
    <row r="132" spans="1:12" s="12" customFormat="1" ht="36.6" hidden="1" customHeight="1">
      <c r="A132" s="407" t="e">
        <f>L_CViec!#REF!</f>
        <v>#REF!</v>
      </c>
      <c r="B132" s="1527" t="e">
        <f>L_CViec!#REF!</f>
        <v>#REF!</v>
      </c>
      <c r="C132" s="1528"/>
      <c r="D132" s="1528"/>
      <c r="E132" s="1528"/>
      <c r="F132" s="1528"/>
      <c r="G132" s="1528"/>
      <c r="H132" s="1528"/>
      <c r="I132" s="1529"/>
      <c r="J132" s="405"/>
      <c r="K132" s="405"/>
      <c r="L132" s="406" t="s">
        <v>452</v>
      </c>
    </row>
    <row r="133" spans="1:12" ht="18.75" hidden="1" customHeight="1">
      <c r="A133" s="41"/>
      <c r="B133" s="42"/>
      <c r="C133" s="8"/>
      <c r="D133" s="8"/>
      <c r="E133" s="9"/>
      <c r="F133" s="52"/>
      <c r="G133" s="485"/>
      <c r="H133" s="485"/>
      <c r="I133" s="485"/>
      <c r="J133" s="185"/>
      <c r="K133" s="185"/>
      <c r="L133" s="17"/>
    </row>
    <row r="134" spans="1:12" ht="18.75" hidden="1" customHeight="1">
      <c r="A134" s="41">
        <v>2</v>
      </c>
      <c r="B134" s="42" t="s">
        <v>367</v>
      </c>
      <c r="C134" s="8" t="s">
        <v>366</v>
      </c>
      <c r="D134" s="8">
        <v>96</v>
      </c>
      <c r="E134" s="9">
        <f>'Gia_Dcu-Tbi-Vlieu'!$E$6</f>
        <v>568000</v>
      </c>
      <c r="F134" s="52">
        <f t="shared" ref="F134:F147" si="25">E134/D134/26</f>
        <v>227.56410256410257</v>
      </c>
      <c r="G134" s="485"/>
      <c r="H134" s="485">
        <v>1.4990000000000001</v>
      </c>
      <c r="I134" s="485">
        <v>0.17899999999999999</v>
      </c>
      <c r="J134" s="185">
        <f t="shared" ref="J134:L136" si="26">$F134*G134</f>
        <v>0</v>
      </c>
      <c r="K134" s="185">
        <f t="shared" si="26"/>
        <v>341.11858974358978</v>
      </c>
      <c r="L134" s="17">
        <f t="shared" si="26"/>
        <v>40.733974358974358</v>
      </c>
    </row>
    <row r="135" spans="1:12" ht="18.75" hidden="1" customHeight="1">
      <c r="A135" s="41">
        <v>3</v>
      </c>
      <c r="B135" s="42" t="s">
        <v>49</v>
      </c>
      <c r="C135" s="8" t="s">
        <v>366</v>
      </c>
      <c r="D135" s="8">
        <v>96</v>
      </c>
      <c r="E135" s="9">
        <f>'Gia_Dcu-Tbi-Vlieu'!$E$7</f>
        <v>1620000</v>
      </c>
      <c r="F135" s="52">
        <f t="shared" si="25"/>
        <v>649.03846153846155</v>
      </c>
      <c r="G135" s="485"/>
      <c r="H135" s="485">
        <v>1.4990000000000001</v>
      </c>
      <c r="I135" s="485">
        <v>0.17899999999999999</v>
      </c>
      <c r="J135" s="185">
        <f t="shared" si="26"/>
        <v>0</v>
      </c>
      <c r="K135" s="185">
        <f t="shared" si="26"/>
        <v>972.90865384615392</v>
      </c>
      <c r="L135" s="17">
        <f t="shared" si="26"/>
        <v>116.17788461538461</v>
      </c>
    </row>
    <row r="136" spans="1:12" ht="18.75" hidden="1" customHeight="1">
      <c r="A136" s="41">
        <v>4</v>
      </c>
      <c r="B136" s="42" t="s">
        <v>368</v>
      </c>
      <c r="C136" s="8" t="s">
        <v>366</v>
      </c>
      <c r="D136" s="8">
        <v>60</v>
      </c>
      <c r="E136" s="9">
        <f>'Gia_Dcu-Tbi-Vlieu'!$E$8</f>
        <v>3500000</v>
      </c>
      <c r="F136" s="52">
        <f t="shared" si="25"/>
        <v>2243.5897435897436</v>
      </c>
      <c r="G136" s="485"/>
      <c r="H136" s="485">
        <v>1.0069999999999999</v>
      </c>
      <c r="I136" s="485">
        <v>0.17899999999999999</v>
      </c>
      <c r="J136" s="185">
        <f t="shared" si="26"/>
        <v>0</v>
      </c>
      <c r="K136" s="185">
        <f t="shared" si="26"/>
        <v>2259.2948717948716</v>
      </c>
      <c r="L136" s="17">
        <f t="shared" si="26"/>
        <v>401.60256410256409</v>
      </c>
    </row>
    <row r="137" spans="1:12" ht="18.75" hidden="1" customHeight="1">
      <c r="A137" s="41"/>
      <c r="B137" s="42"/>
      <c r="C137" s="8"/>
      <c r="D137" s="8"/>
      <c r="E137" s="9"/>
      <c r="F137" s="52"/>
      <c r="G137" s="485"/>
      <c r="H137" s="485"/>
      <c r="I137" s="485"/>
      <c r="J137" s="185"/>
      <c r="K137" s="185"/>
      <c r="L137" s="17"/>
    </row>
    <row r="138" spans="1:12" ht="18.75" hidden="1" customHeight="1">
      <c r="A138" s="41">
        <v>6</v>
      </c>
      <c r="B138" s="42" t="s">
        <v>370</v>
      </c>
      <c r="C138" s="8" t="s">
        <v>366</v>
      </c>
      <c r="D138" s="8">
        <v>36</v>
      </c>
      <c r="E138" s="9">
        <f>'Gia_Dcu-Tbi-Vlieu'!$E$10</f>
        <v>715000</v>
      </c>
      <c r="F138" s="52">
        <f t="shared" si="25"/>
        <v>763.8888888888888</v>
      </c>
      <c r="G138" s="485"/>
      <c r="H138" s="485">
        <v>1.4999999999999999E-2</v>
      </c>
      <c r="I138" s="485">
        <v>1E-3</v>
      </c>
      <c r="J138" s="185">
        <f t="shared" ref="J138:L142" si="27">$F138*G138</f>
        <v>0</v>
      </c>
      <c r="K138" s="185">
        <f t="shared" si="27"/>
        <v>11.458333333333332</v>
      </c>
      <c r="L138" s="17">
        <f t="shared" si="27"/>
        <v>0.76388888888888884</v>
      </c>
    </row>
    <row r="139" spans="1:12" ht="18.75" hidden="1" customHeight="1">
      <c r="A139" s="41">
        <v>7</v>
      </c>
      <c r="B139" s="42" t="s">
        <v>371</v>
      </c>
      <c r="C139" s="8" t="s">
        <v>366</v>
      </c>
      <c r="D139" s="8">
        <v>12</v>
      </c>
      <c r="E139" s="9">
        <f>'Gia_Dcu-Tbi-Vlieu'!$E$11</f>
        <v>1125000</v>
      </c>
      <c r="F139" s="52">
        <f t="shared" si="25"/>
        <v>3605.7692307692309</v>
      </c>
      <c r="G139" s="485"/>
      <c r="H139" s="485">
        <v>4.0000000000000001E-3</v>
      </c>
      <c r="I139" s="485">
        <v>1E-3</v>
      </c>
      <c r="J139" s="185">
        <f t="shared" si="27"/>
        <v>0</v>
      </c>
      <c r="K139" s="185">
        <f t="shared" si="27"/>
        <v>14.423076923076923</v>
      </c>
      <c r="L139" s="17">
        <f t="shared" si="27"/>
        <v>3.6057692307692308</v>
      </c>
    </row>
    <row r="140" spans="1:12" ht="18.75" hidden="1" customHeight="1">
      <c r="A140" s="41">
        <v>8</v>
      </c>
      <c r="B140" s="42" t="s">
        <v>372</v>
      </c>
      <c r="C140" s="8" t="s">
        <v>366</v>
      </c>
      <c r="D140" s="8">
        <v>12</v>
      </c>
      <c r="E140" s="9">
        <f>'Gia_Dcu-Tbi-Vlieu'!$E$12</f>
        <v>15000</v>
      </c>
      <c r="F140" s="52">
        <f t="shared" si="25"/>
        <v>48.07692307692308</v>
      </c>
      <c r="G140" s="485"/>
      <c r="H140" s="485">
        <v>1.7000000000000001E-2</v>
      </c>
      <c r="I140" s="485">
        <v>2E-3</v>
      </c>
      <c r="J140" s="185">
        <f t="shared" si="27"/>
        <v>0</v>
      </c>
      <c r="K140" s="185">
        <f t="shared" si="27"/>
        <v>0.8173076923076924</v>
      </c>
      <c r="L140" s="17">
        <f t="shared" si="27"/>
        <v>9.6153846153846159E-2</v>
      </c>
    </row>
    <row r="141" spans="1:12" ht="18.75" hidden="1" customHeight="1">
      <c r="A141" s="41">
        <v>9</v>
      </c>
      <c r="B141" s="42" t="s">
        <v>373</v>
      </c>
      <c r="C141" s="8" t="s">
        <v>366</v>
      </c>
      <c r="D141" s="8">
        <v>12</v>
      </c>
      <c r="E141" s="9">
        <f>'Gia_Dcu-Tbi-Vlieu'!$E$13</f>
        <v>530000</v>
      </c>
      <c r="F141" s="52">
        <f t="shared" si="25"/>
        <v>1698.7179487179487</v>
      </c>
      <c r="G141" s="485"/>
      <c r="H141" s="485">
        <v>0.05</v>
      </c>
      <c r="I141" s="485">
        <v>1E-3</v>
      </c>
      <c r="J141" s="185">
        <f t="shared" si="27"/>
        <v>0</v>
      </c>
      <c r="K141" s="185">
        <f t="shared" si="27"/>
        <v>84.935897435897445</v>
      </c>
      <c r="L141" s="17">
        <f t="shared" si="27"/>
        <v>1.6987179487179487</v>
      </c>
    </row>
    <row r="142" spans="1:12" ht="18.75" hidden="1" customHeight="1">
      <c r="A142" s="41">
        <v>10</v>
      </c>
      <c r="B142" s="42" t="s">
        <v>374</v>
      </c>
      <c r="C142" s="8" t="s">
        <v>366</v>
      </c>
      <c r="D142" s="8">
        <v>9</v>
      </c>
      <c r="E142" s="9">
        <f>'Gia_Dcu-Tbi-Vlieu'!$E$14</f>
        <v>30000</v>
      </c>
      <c r="F142" s="52">
        <f t="shared" si="25"/>
        <v>128.2051282051282</v>
      </c>
      <c r="G142" s="485"/>
      <c r="H142" s="485">
        <v>2.4E-2</v>
      </c>
      <c r="I142" s="485">
        <v>1E-3</v>
      </c>
      <c r="J142" s="185">
        <f t="shared" si="27"/>
        <v>0</v>
      </c>
      <c r="K142" s="185">
        <f t="shared" si="27"/>
        <v>3.0769230769230771</v>
      </c>
      <c r="L142" s="17">
        <f t="shared" si="27"/>
        <v>0.12820512820512819</v>
      </c>
    </row>
    <row r="143" spans="1:12" ht="18.75" hidden="1" customHeight="1">
      <c r="A143" s="41"/>
      <c r="B143" s="42"/>
      <c r="C143" s="8"/>
      <c r="D143" s="8"/>
      <c r="E143" s="9"/>
      <c r="F143" s="52"/>
      <c r="G143" s="485"/>
      <c r="H143" s="485"/>
      <c r="I143" s="485"/>
      <c r="J143" s="185"/>
      <c r="K143" s="185"/>
      <c r="L143" s="17"/>
    </row>
    <row r="144" spans="1:12" ht="18.75" hidden="1" customHeight="1">
      <c r="A144" s="41"/>
      <c r="B144" s="42"/>
      <c r="C144" s="8"/>
      <c r="D144" s="8"/>
      <c r="E144" s="9"/>
      <c r="F144" s="52"/>
      <c r="G144" s="485"/>
      <c r="H144" s="485"/>
      <c r="I144" s="485"/>
      <c r="J144" s="185"/>
      <c r="K144" s="185"/>
      <c r="L144" s="17"/>
    </row>
    <row r="145" spans="1:13" ht="18.75" hidden="1" customHeight="1">
      <c r="A145" s="41">
        <v>13</v>
      </c>
      <c r="B145" s="42" t="s">
        <v>377</v>
      </c>
      <c r="C145" s="8" t="s">
        <v>366</v>
      </c>
      <c r="D145" s="8">
        <v>12</v>
      </c>
      <c r="E145" s="9">
        <f>'Gia_Dcu-Tbi-Vlieu'!$E$18</f>
        <v>85000</v>
      </c>
      <c r="F145" s="52">
        <f t="shared" si="25"/>
        <v>272.4358974358974</v>
      </c>
      <c r="G145" s="485"/>
      <c r="H145" s="485">
        <v>4.9000000000000002E-2</v>
      </c>
      <c r="I145" s="485"/>
      <c r="J145" s="185">
        <f t="shared" ref="J145:L148" si="28">$F145*G145</f>
        <v>0</v>
      </c>
      <c r="K145" s="185">
        <f t="shared" si="28"/>
        <v>13.349358974358973</v>
      </c>
      <c r="L145" s="17">
        <f t="shared" si="28"/>
        <v>0</v>
      </c>
    </row>
    <row r="146" spans="1:13" ht="18.75" hidden="1" customHeight="1">
      <c r="A146" s="41">
        <v>14</v>
      </c>
      <c r="B146" s="42" t="s">
        <v>378</v>
      </c>
      <c r="C146" s="8" t="s">
        <v>366</v>
      </c>
      <c r="D146" s="8">
        <v>36</v>
      </c>
      <c r="E146" s="9">
        <f>'Gia_Dcu-Tbi-Vlieu'!$E$19</f>
        <v>795000</v>
      </c>
      <c r="F146" s="52">
        <f t="shared" si="25"/>
        <v>849.35897435897436</v>
      </c>
      <c r="G146" s="485"/>
      <c r="H146" s="485">
        <v>0.70499999999999996</v>
      </c>
      <c r="I146" s="485">
        <v>0.125</v>
      </c>
      <c r="J146" s="185">
        <f t="shared" si="28"/>
        <v>0</v>
      </c>
      <c r="K146" s="185">
        <f t="shared" si="28"/>
        <v>598.79807692307691</v>
      </c>
      <c r="L146" s="17">
        <f t="shared" si="28"/>
        <v>106.1698717948718</v>
      </c>
    </row>
    <row r="147" spans="1:13" ht="18.75" hidden="1" customHeight="1">
      <c r="A147" s="41">
        <v>15</v>
      </c>
      <c r="B147" s="42" t="s">
        <v>379</v>
      </c>
      <c r="C147" s="8" t="s">
        <v>380</v>
      </c>
      <c r="D147" s="8">
        <v>30</v>
      </c>
      <c r="E147" s="9">
        <f>'Gia_Dcu-Tbi-Vlieu'!$E$20</f>
        <v>212000</v>
      </c>
      <c r="F147" s="52">
        <f t="shared" si="25"/>
        <v>271.79487179487182</v>
      </c>
      <c r="G147" s="485"/>
      <c r="H147" s="485">
        <v>1.4990000000000001</v>
      </c>
      <c r="I147" s="485">
        <v>0.17899999999999999</v>
      </c>
      <c r="J147" s="185">
        <f t="shared" si="28"/>
        <v>0</v>
      </c>
      <c r="K147" s="185">
        <f t="shared" si="28"/>
        <v>407.4205128205129</v>
      </c>
      <c r="L147" s="17">
        <f t="shared" si="28"/>
        <v>48.651282051282053</v>
      </c>
    </row>
    <row r="148" spans="1:13" s="43" customFormat="1" ht="18.75" hidden="1" customHeight="1">
      <c r="A148" s="419">
        <v>16</v>
      </c>
      <c r="B148" s="420" t="s">
        <v>18</v>
      </c>
      <c r="C148" s="261" t="s">
        <v>381</v>
      </c>
      <c r="D148" s="262">
        <v>1</v>
      </c>
      <c r="E148" s="421">
        <f>'Gia_Dcu-Tbi-Vlieu'!$E$21</f>
        <v>2204.0655000000002</v>
      </c>
      <c r="F148" s="422">
        <f>D148*E148</f>
        <v>2204.0655000000002</v>
      </c>
      <c r="G148" s="486"/>
      <c r="H148" s="486">
        <v>1.044</v>
      </c>
      <c r="I148" s="486">
        <v>0.158</v>
      </c>
      <c r="J148" s="423">
        <f t="shared" si="28"/>
        <v>0</v>
      </c>
      <c r="K148" s="423">
        <f t="shared" si="28"/>
        <v>2301.044382</v>
      </c>
      <c r="L148" s="424">
        <f t="shared" si="28"/>
        <v>348.24234900000005</v>
      </c>
    </row>
    <row r="149" spans="1:13" s="15" customFormat="1" ht="18.75" hidden="1" customHeight="1">
      <c r="A149" s="411"/>
      <c r="B149" s="412" t="s">
        <v>580</v>
      </c>
      <c r="C149" s="413"/>
      <c r="D149" s="414"/>
      <c r="E149" s="415"/>
      <c r="F149" s="416"/>
      <c r="G149" s="487"/>
      <c r="H149" s="487"/>
      <c r="I149" s="488">
        <v>1</v>
      </c>
      <c r="J149" s="417">
        <f>SUM(J133:J147)</f>
        <v>0</v>
      </c>
      <c r="K149" s="417">
        <f>SUM(K133:K147)</f>
        <v>4707.6016025641029</v>
      </c>
      <c r="L149" s="418">
        <f>SUM(L133:L147)</f>
        <v>719.62831196581192</v>
      </c>
    </row>
    <row r="150" spans="1:13" ht="18.75" hidden="1" customHeight="1">
      <c r="A150" s="199"/>
      <c r="B150" s="408" t="s">
        <v>332</v>
      </c>
      <c r="C150" s="201"/>
      <c r="D150" s="200"/>
      <c r="E150" s="200"/>
      <c r="F150" s="409"/>
      <c r="G150" s="426"/>
      <c r="H150" s="200"/>
      <c r="I150" s="489"/>
      <c r="J150" s="489"/>
      <c r="K150" s="489"/>
      <c r="L150" s="410"/>
      <c r="M150" s="40"/>
    </row>
    <row r="151" spans="1:13" ht="18.75" hidden="1" customHeight="1">
      <c r="A151" s="41"/>
      <c r="B151" s="209" t="s">
        <v>553</v>
      </c>
      <c r="C151" s="196"/>
      <c r="D151" s="195"/>
      <c r="E151" s="195"/>
      <c r="F151" s="210"/>
      <c r="G151" s="494"/>
      <c r="H151" s="195"/>
      <c r="I151" s="490"/>
      <c r="J151" s="490" t="s">
        <v>554</v>
      </c>
      <c r="K151" s="490" t="s">
        <v>555</v>
      </c>
      <c r="L151" s="189" t="s">
        <v>556</v>
      </c>
      <c r="M151" s="40"/>
    </row>
    <row r="152" spans="1:13" s="15" customFormat="1" ht="18.75" hidden="1" customHeight="1">
      <c r="A152" s="239"/>
      <c r="B152" s="10" t="s">
        <v>122</v>
      </c>
      <c r="C152" s="187"/>
      <c r="D152" s="10"/>
      <c r="E152" s="218"/>
      <c r="F152" s="218"/>
      <c r="G152" s="218">
        <v>0.9</v>
      </c>
      <c r="H152" s="218">
        <v>1</v>
      </c>
      <c r="I152" s="218">
        <v>1</v>
      </c>
      <c r="J152" s="186">
        <f>G152*K$149</f>
        <v>4236.8414423076929</v>
      </c>
      <c r="K152" s="186">
        <f t="shared" ref="K152:K160" si="29">H152*K$149</f>
        <v>4707.6016025641029</v>
      </c>
      <c r="L152" s="18">
        <f t="shared" ref="L152:L160" si="30">I152*L$149</f>
        <v>719.62831196581192</v>
      </c>
      <c r="M152" s="5"/>
    </row>
    <row r="153" spans="1:13" s="15" customFormat="1" ht="18.75" hidden="1" customHeight="1">
      <c r="A153" s="239"/>
      <c r="B153" s="10" t="s">
        <v>123</v>
      </c>
      <c r="C153" s="10"/>
      <c r="D153" s="10"/>
      <c r="E153" s="218"/>
      <c r="F153" s="218"/>
      <c r="G153" s="218">
        <v>1</v>
      </c>
      <c r="H153" s="218">
        <v>1</v>
      </c>
      <c r="I153" s="218">
        <v>1</v>
      </c>
      <c r="J153" s="186">
        <f>G153*K$149</f>
        <v>4707.6016025641029</v>
      </c>
      <c r="K153" s="186">
        <f t="shared" si="29"/>
        <v>4707.6016025641029</v>
      </c>
      <c r="L153" s="18">
        <f t="shared" si="30"/>
        <v>719.62831196581192</v>
      </c>
      <c r="M153" s="5"/>
    </row>
    <row r="154" spans="1:13" s="15" customFormat="1" ht="18.75" hidden="1" customHeight="1">
      <c r="A154" s="239"/>
      <c r="B154" s="10" t="s">
        <v>421</v>
      </c>
      <c r="C154" s="10"/>
      <c r="D154" s="10"/>
      <c r="E154" s="218"/>
      <c r="F154" s="218"/>
      <c r="G154" s="218">
        <v>1.1000000000000001</v>
      </c>
      <c r="H154" s="218">
        <v>1</v>
      </c>
      <c r="I154" s="218">
        <v>1</v>
      </c>
      <c r="J154" s="186">
        <f>G154*K$149</f>
        <v>5178.3617628205138</v>
      </c>
      <c r="K154" s="186">
        <f t="shared" si="29"/>
        <v>4707.6016025641029</v>
      </c>
      <c r="L154" s="18">
        <f t="shared" si="30"/>
        <v>719.62831196581192</v>
      </c>
      <c r="M154" s="5"/>
    </row>
    <row r="155" spans="1:13" s="15" customFormat="1" ht="18.75" hidden="1" customHeight="1">
      <c r="A155" s="239"/>
      <c r="B155" s="10" t="s">
        <v>422</v>
      </c>
      <c r="C155" s="10"/>
      <c r="D155" s="10"/>
      <c r="E155" s="218"/>
      <c r="F155" s="218"/>
      <c r="G155" s="218">
        <v>1.2</v>
      </c>
      <c r="H155" s="218">
        <v>1</v>
      </c>
      <c r="I155" s="218">
        <v>1</v>
      </c>
      <c r="J155" s="186">
        <f>G155*K$149</f>
        <v>5649.1219230769229</v>
      </c>
      <c r="K155" s="186">
        <f t="shared" si="29"/>
        <v>4707.6016025641029</v>
      </c>
      <c r="L155" s="18">
        <f t="shared" si="30"/>
        <v>719.62831196581192</v>
      </c>
      <c r="M155" s="5"/>
    </row>
    <row r="156" spans="1:13" ht="96" hidden="1" customHeight="1">
      <c r="A156" s="41"/>
      <c r="B156" s="1494" t="s">
        <v>439</v>
      </c>
      <c r="C156" s="1495"/>
      <c r="D156" s="1495"/>
      <c r="E156" s="1495"/>
      <c r="F156" s="1496"/>
      <c r="G156" s="490"/>
      <c r="H156" s="490">
        <v>1.3</v>
      </c>
      <c r="I156" s="490">
        <v>1.3</v>
      </c>
      <c r="J156" s="9">
        <f>G156*J$149</f>
        <v>0</v>
      </c>
      <c r="K156" s="9">
        <f t="shared" si="29"/>
        <v>6119.8820833333339</v>
      </c>
      <c r="L156" s="189">
        <f t="shared" si="30"/>
        <v>935.51680555555549</v>
      </c>
    </row>
    <row r="157" spans="1:13" ht="32.25" hidden="1" customHeight="1">
      <c r="A157" s="41"/>
      <c r="B157" s="1494" t="s">
        <v>453</v>
      </c>
      <c r="C157" s="1495"/>
      <c r="D157" s="1495"/>
      <c r="E157" s="1495"/>
      <c r="F157" s="1496"/>
      <c r="G157" s="490"/>
      <c r="H157" s="491">
        <v>3.0000000000000001E-3</v>
      </c>
      <c r="I157" s="491">
        <v>3.0000000000000001E-3</v>
      </c>
      <c r="J157" s="9">
        <f>G157*J$149</f>
        <v>0</v>
      </c>
      <c r="K157" s="9">
        <f t="shared" si="29"/>
        <v>14.12280480769231</v>
      </c>
      <c r="L157" s="189">
        <f t="shared" si="30"/>
        <v>2.158884935897436</v>
      </c>
    </row>
    <row r="158" spans="1:13" ht="50.25" hidden="1" customHeight="1">
      <c r="A158" s="41"/>
      <c r="B158" s="1494" t="s">
        <v>454</v>
      </c>
      <c r="C158" s="1495"/>
      <c r="D158" s="1495"/>
      <c r="E158" s="1495"/>
      <c r="F158" s="1496"/>
      <c r="G158" s="490"/>
      <c r="H158" s="490"/>
      <c r="I158" s="490"/>
      <c r="J158" s="9">
        <f>G158*J$149</f>
        <v>0</v>
      </c>
      <c r="K158" s="9">
        <f t="shared" si="29"/>
        <v>0</v>
      </c>
      <c r="L158" s="189">
        <f t="shared" si="30"/>
        <v>0</v>
      </c>
    </row>
    <row r="159" spans="1:13" ht="45" hidden="1" customHeight="1">
      <c r="A159" s="41"/>
      <c r="B159" s="1494" t="s">
        <v>455</v>
      </c>
      <c r="C159" s="1495"/>
      <c r="D159" s="1495"/>
      <c r="E159" s="1495"/>
      <c r="F159" s="1496"/>
      <c r="G159" s="490"/>
      <c r="H159" s="490">
        <v>0.2</v>
      </c>
      <c r="I159" s="490"/>
      <c r="J159" s="9">
        <f>G159*J$149</f>
        <v>0</v>
      </c>
      <c r="K159" s="9">
        <f t="shared" si="29"/>
        <v>941.5203205128206</v>
      </c>
      <c r="L159" s="189">
        <f t="shared" si="30"/>
        <v>0</v>
      </c>
    </row>
    <row r="160" spans="1:13" ht="32.25" hidden="1" customHeight="1">
      <c r="A160" s="41"/>
      <c r="B160" s="1494" t="s">
        <v>456</v>
      </c>
      <c r="C160" s="1495"/>
      <c r="D160" s="1495"/>
      <c r="E160" s="1495"/>
      <c r="F160" s="1496"/>
      <c r="G160" s="490"/>
      <c r="H160" s="490">
        <v>0.9</v>
      </c>
      <c r="I160" s="490">
        <v>0.9</v>
      </c>
      <c r="J160" s="9">
        <f>G160*J$149</f>
        <v>0</v>
      </c>
      <c r="K160" s="9">
        <f t="shared" si="29"/>
        <v>4236.8414423076929</v>
      </c>
      <c r="L160" s="189">
        <f t="shared" si="30"/>
        <v>647.66548076923073</v>
      </c>
    </row>
    <row r="161" spans="1:13" ht="32.25" customHeight="1">
      <c r="A161" s="1468" t="s">
        <v>24</v>
      </c>
      <c r="B161" s="1470" t="s">
        <v>2</v>
      </c>
      <c r="C161" s="1470" t="s">
        <v>39</v>
      </c>
      <c r="D161" s="1470" t="s">
        <v>112</v>
      </c>
      <c r="E161" s="1470" t="s">
        <v>415</v>
      </c>
      <c r="F161" s="1472" t="s">
        <v>28</v>
      </c>
      <c r="G161" s="1498" t="s">
        <v>361</v>
      </c>
      <c r="H161" s="1498"/>
      <c r="I161" s="1498"/>
      <c r="J161" s="1482" t="s">
        <v>36</v>
      </c>
      <c r="K161" s="1482"/>
      <c r="L161" s="1483"/>
    </row>
    <row r="162" spans="1:13" ht="83.25" customHeight="1">
      <c r="A162" s="1469"/>
      <c r="B162" s="1471"/>
      <c r="C162" s="1471"/>
      <c r="D162" s="1471"/>
      <c r="E162" s="1471"/>
      <c r="F162" s="1473"/>
      <c r="G162" s="325" t="s">
        <v>364</v>
      </c>
      <c r="H162" s="325" t="s">
        <v>752</v>
      </c>
      <c r="I162" s="325"/>
      <c r="J162" s="327" t="s">
        <v>364</v>
      </c>
      <c r="K162" s="325" t="s">
        <v>752</v>
      </c>
      <c r="L162" s="327"/>
    </row>
    <row r="163" spans="1:13" s="12" customFormat="1" ht="36.6" customHeight="1">
      <c r="A163" s="407" t="str">
        <f>L_CViec!A276</f>
        <v>V</v>
      </c>
      <c r="B163" s="1527" t="str">
        <f>L_CViec!B276</f>
        <v>Đăng ký, cấp đổi, cấp lại Giấy chứng nhận riêng lẻ đối với hộ gia đình, cá nhân, cộng đồng dân cư, người gốc Việt Nam định cư ở nước ngoài.</v>
      </c>
      <c r="C163" s="1528">
        <f>L_CViec!C334</f>
        <v>0</v>
      </c>
      <c r="D163" s="1528">
        <f>L_CViec!D334</f>
        <v>0</v>
      </c>
      <c r="E163" s="1528"/>
      <c r="F163" s="1528"/>
      <c r="G163" s="1528"/>
      <c r="H163" s="1528"/>
      <c r="I163" s="1529"/>
      <c r="J163" s="405"/>
      <c r="K163" s="405"/>
      <c r="L163" s="406" t="s">
        <v>513</v>
      </c>
    </row>
    <row r="164" spans="1:13" ht="18.75" customHeight="1">
      <c r="A164" s="41">
        <v>1</v>
      </c>
      <c r="B164" s="42" t="s">
        <v>367</v>
      </c>
      <c r="C164" s="8" t="s">
        <v>366</v>
      </c>
      <c r="D164" s="8">
        <v>96</v>
      </c>
      <c r="E164" s="9">
        <f>'Gia_Dcu-Tbi-Vlieu'!$E$6</f>
        <v>568000</v>
      </c>
      <c r="F164" s="52">
        <f t="shared" ref="F164:F173" si="31">E164/D164/26</f>
        <v>227.56410256410257</v>
      </c>
      <c r="G164" s="485">
        <v>1.7999999999999999E-2</v>
      </c>
      <c r="H164" s="485">
        <v>2.448</v>
      </c>
      <c r="I164" s="485"/>
      <c r="J164" s="185">
        <f t="shared" ref="J164:L166" si="32">$F164*G164</f>
        <v>4.0961538461538458</v>
      </c>
      <c r="K164" s="185">
        <f t="shared" si="32"/>
        <v>557.07692307692309</v>
      </c>
      <c r="L164" s="17">
        <f t="shared" si="32"/>
        <v>0</v>
      </c>
    </row>
    <row r="165" spans="1:13" ht="18.75" customHeight="1">
      <c r="A165" s="41">
        <v>2</v>
      </c>
      <c r="B165" s="42" t="s">
        <v>49</v>
      </c>
      <c r="C165" s="8" t="s">
        <v>366</v>
      </c>
      <c r="D165" s="8">
        <v>96</v>
      </c>
      <c r="E165" s="9">
        <f>'Gia_Dcu-Tbi-Vlieu'!$E$7</f>
        <v>1620000</v>
      </c>
      <c r="F165" s="52">
        <f t="shared" si="31"/>
        <v>649.03846153846155</v>
      </c>
      <c r="G165" s="485">
        <v>1.7999999999999999E-2</v>
      </c>
      <c r="H165" s="485">
        <v>2.448</v>
      </c>
      <c r="I165" s="485"/>
      <c r="J165" s="185">
        <f t="shared" si="32"/>
        <v>11.682692307692307</v>
      </c>
      <c r="K165" s="185">
        <f t="shared" si="32"/>
        <v>1588.8461538461538</v>
      </c>
      <c r="L165" s="17">
        <f t="shared" si="32"/>
        <v>0</v>
      </c>
    </row>
    <row r="166" spans="1:13" ht="18.75" customHeight="1">
      <c r="A166" s="41">
        <v>3</v>
      </c>
      <c r="B166" s="42" t="s">
        <v>368</v>
      </c>
      <c r="C166" s="8" t="s">
        <v>366</v>
      </c>
      <c r="D166" s="8">
        <v>96</v>
      </c>
      <c r="E166" s="9">
        <f>'Gia_Dcu-Tbi-Vlieu'!$E$8</f>
        <v>3500000</v>
      </c>
      <c r="F166" s="52">
        <f t="shared" si="31"/>
        <v>1402.2435897435898</v>
      </c>
      <c r="G166" s="485">
        <v>1.7999999999999999E-2</v>
      </c>
      <c r="H166" s="485">
        <v>1.8660000000000001</v>
      </c>
      <c r="I166" s="485"/>
      <c r="J166" s="185">
        <f t="shared" si="32"/>
        <v>25.240384615384617</v>
      </c>
      <c r="K166" s="185">
        <f t="shared" si="32"/>
        <v>2616.5865384615386</v>
      </c>
      <c r="L166" s="17">
        <f t="shared" si="32"/>
        <v>0</v>
      </c>
    </row>
    <row r="167" spans="1:13" ht="18.75" customHeight="1">
      <c r="A167" s="41">
        <v>4</v>
      </c>
      <c r="B167" s="42" t="s">
        <v>371</v>
      </c>
      <c r="C167" s="8" t="s">
        <v>366</v>
      </c>
      <c r="D167" s="8">
        <v>12</v>
      </c>
      <c r="E167" s="9">
        <f>'Gia_Dcu-Tbi-Vlieu'!$E$11</f>
        <v>1125000</v>
      </c>
      <c r="F167" s="52">
        <f t="shared" si="31"/>
        <v>3605.7692307692309</v>
      </c>
      <c r="G167" s="485"/>
      <c r="H167" s="485">
        <v>1.0999999999999999E-2</v>
      </c>
      <c r="I167" s="485"/>
      <c r="J167" s="185">
        <f t="shared" ref="J167:L170" si="33">$F167*G167</f>
        <v>0</v>
      </c>
      <c r="K167" s="185">
        <f t="shared" si="33"/>
        <v>39.66346153846154</v>
      </c>
      <c r="L167" s="17">
        <f t="shared" si="33"/>
        <v>0</v>
      </c>
    </row>
    <row r="168" spans="1:13" ht="18.75" customHeight="1">
      <c r="A168" s="41">
        <v>5</v>
      </c>
      <c r="B168" s="42" t="s">
        <v>372</v>
      </c>
      <c r="C168" s="8" t="s">
        <v>366</v>
      </c>
      <c r="D168" s="8">
        <v>12</v>
      </c>
      <c r="E168" s="9">
        <f>'Gia_Dcu-Tbi-Vlieu'!$E$12</f>
        <v>15000</v>
      </c>
      <c r="F168" s="52">
        <f t="shared" si="31"/>
        <v>48.07692307692308</v>
      </c>
      <c r="G168" s="485"/>
      <c r="H168" s="485">
        <v>0.48</v>
      </c>
      <c r="I168" s="485"/>
      <c r="J168" s="185">
        <f t="shared" si="33"/>
        <v>0</v>
      </c>
      <c r="K168" s="185">
        <f t="shared" si="33"/>
        <v>23.076923076923077</v>
      </c>
      <c r="L168" s="17">
        <f t="shared" si="33"/>
        <v>0</v>
      </c>
    </row>
    <row r="169" spans="1:13" ht="18.75" customHeight="1">
      <c r="A169" s="41">
        <v>6</v>
      </c>
      <c r="B169" s="42" t="s">
        <v>373</v>
      </c>
      <c r="C169" s="8" t="s">
        <v>366</v>
      </c>
      <c r="D169" s="8">
        <v>12</v>
      </c>
      <c r="E169" s="9">
        <f>'Gia_Dcu-Tbi-Vlieu'!$E$13</f>
        <v>530000</v>
      </c>
      <c r="F169" s="52">
        <f t="shared" si="31"/>
        <v>1698.7179487179487</v>
      </c>
      <c r="G169" s="485"/>
      <c r="H169" s="485">
        <v>0.15</v>
      </c>
      <c r="I169" s="485"/>
      <c r="J169" s="185">
        <f t="shared" si="33"/>
        <v>0</v>
      </c>
      <c r="K169" s="185">
        <f t="shared" si="33"/>
        <v>254.80769230769229</v>
      </c>
      <c r="L169" s="17">
        <f t="shared" si="33"/>
        <v>0</v>
      </c>
    </row>
    <row r="170" spans="1:13" ht="18.75" customHeight="1">
      <c r="A170" s="41">
        <v>7</v>
      </c>
      <c r="B170" s="42" t="s">
        <v>374</v>
      </c>
      <c r="C170" s="8" t="s">
        <v>366</v>
      </c>
      <c r="D170" s="8">
        <v>9</v>
      </c>
      <c r="E170" s="9">
        <f>'Gia_Dcu-Tbi-Vlieu'!$E$14</f>
        <v>30000</v>
      </c>
      <c r="F170" s="52">
        <f t="shared" si="31"/>
        <v>128.2051282051282</v>
      </c>
      <c r="G170" s="485"/>
      <c r="H170" s="485">
        <v>7.1999999999999995E-2</v>
      </c>
      <c r="I170" s="485"/>
      <c r="J170" s="185">
        <f t="shared" si="33"/>
        <v>0</v>
      </c>
      <c r="K170" s="185">
        <f t="shared" si="33"/>
        <v>9.2307692307692299</v>
      </c>
      <c r="L170" s="17">
        <f t="shared" si="33"/>
        <v>0</v>
      </c>
    </row>
    <row r="171" spans="1:13" ht="18.75" customHeight="1">
      <c r="A171" s="41">
        <v>8</v>
      </c>
      <c r="B171" s="42" t="s">
        <v>377</v>
      </c>
      <c r="C171" s="8" t="s">
        <v>366</v>
      </c>
      <c r="D171" s="8">
        <v>12</v>
      </c>
      <c r="E171" s="9">
        <f>'Gia_Dcu-Tbi-Vlieu'!$E$18</f>
        <v>85000</v>
      </c>
      <c r="F171" s="52">
        <f t="shared" si="31"/>
        <v>272.4358974358974</v>
      </c>
      <c r="G171" s="485"/>
      <c r="H171" s="485">
        <v>0.15</v>
      </c>
      <c r="I171" s="485"/>
      <c r="J171" s="185">
        <f t="shared" ref="J171:L174" si="34">$F171*G171</f>
        <v>0</v>
      </c>
      <c r="K171" s="185">
        <f t="shared" si="34"/>
        <v>40.865384615384606</v>
      </c>
      <c r="L171" s="17">
        <f t="shared" si="34"/>
        <v>0</v>
      </c>
    </row>
    <row r="172" spans="1:13" ht="18.75" customHeight="1">
      <c r="A172" s="41">
        <v>9</v>
      </c>
      <c r="B172" s="42" t="s">
        <v>378</v>
      </c>
      <c r="C172" s="8" t="s">
        <v>366</v>
      </c>
      <c r="D172" s="8">
        <v>36</v>
      </c>
      <c r="E172" s="9">
        <f>'Gia_Dcu-Tbi-Vlieu'!$E$19</f>
        <v>795000</v>
      </c>
      <c r="F172" s="52">
        <f t="shared" si="31"/>
        <v>849.35897435897436</v>
      </c>
      <c r="G172" s="485">
        <v>8.9999999999999993E-3</v>
      </c>
      <c r="H172" s="485">
        <v>0.91100000000000003</v>
      </c>
      <c r="I172" s="485"/>
      <c r="J172" s="185">
        <f t="shared" si="34"/>
        <v>7.6442307692307683</v>
      </c>
      <c r="K172" s="185">
        <f t="shared" si="34"/>
        <v>773.76602564102564</v>
      </c>
      <c r="L172" s="17">
        <f t="shared" si="34"/>
        <v>0</v>
      </c>
    </row>
    <row r="173" spans="1:13" ht="18.75" customHeight="1">
      <c r="A173" s="41">
        <v>10</v>
      </c>
      <c r="B173" s="42" t="s">
        <v>379</v>
      </c>
      <c r="C173" s="8" t="s">
        <v>380</v>
      </c>
      <c r="D173" s="8">
        <v>30</v>
      </c>
      <c r="E173" s="9">
        <f>'Gia_Dcu-Tbi-Vlieu'!$E$20</f>
        <v>212000</v>
      </c>
      <c r="F173" s="52">
        <f t="shared" si="31"/>
        <v>271.79487179487182</v>
      </c>
      <c r="G173" s="485">
        <v>1.7999999999999999E-2</v>
      </c>
      <c r="H173" s="485">
        <v>2.4660000000000002</v>
      </c>
      <c r="I173" s="485"/>
      <c r="J173" s="185">
        <f t="shared" si="34"/>
        <v>4.8923076923076927</v>
      </c>
      <c r="K173" s="185">
        <f t="shared" si="34"/>
        <v>670.24615384615402</v>
      </c>
      <c r="L173" s="17">
        <f t="shared" si="34"/>
        <v>0</v>
      </c>
    </row>
    <row r="174" spans="1:13" ht="18.75" customHeight="1">
      <c r="A174" s="41">
        <v>11</v>
      </c>
      <c r="B174" s="1159" t="s">
        <v>18</v>
      </c>
      <c r="C174" s="48" t="s">
        <v>381</v>
      </c>
      <c r="D174" s="1160">
        <v>1</v>
      </c>
      <c r="E174" s="49">
        <f>'Gia_Dcu-Tbi-Vlieu'!$E$21</f>
        <v>2204.0655000000002</v>
      </c>
      <c r="F174" s="1161">
        <f>D174*E174</f>
        <v>2204.0655000000002</v>
      </c>
      <c r="G174" s="1162">
        <v>1.4E-2</v>
      </c>
      <c r="H174" s="1162">
        <v>1.5189999999999999</v>
      </c>
      <c r="I174" s="1162"/>
      <c r="J174" s="1163">
        <f t="shared" si="34"/>
        <v>30.856917000000003</v>
      </c>
      <c r="K174" s="1163">
        <f t="shared" si="34"/>
        <v>3347.9754945</v>
      </c>
      <c r="L174" s="45">
        <f t="shared" si="34"/>
        <v>0</v>
      </c>
    </row>
    <row r="175" spans="1:13" s="15" customFormat="1" ht="18.75" customHeight="1">
      <c r="A175" s="411"/>
      <c r="B175" s="412" t="s">
        <v>580</v>
      </c>
      <c r="C175" s="413"/>
      <c r="D175" s="414"/>
      <c r="E175" s="415"/>
      <c r="F175" s="416"/>
      <c r="G175" s="487"/>
      <c r="H175" s="487"/>
      <c r="I175" s="488">
        <v>1</v>
      </c>
      <c r="J175" s="417">
        <f>SUM(J164:J173)*I$175+J174</f>
        <v>84.412686230769225</v>
      </c>
      <c r="K175" s="417">
        <f>SUM(K164:K173)*I$175+K174</f>
        <v>9922.1415201410255</v>
      </c>
      <c r="L175" s="418">
        <f>SUM(L164:L173)</f>
        <v>0</v>
      </c>
    </row>
    <row r="176" spans="1:13" ht="18.75" customHeight="1">
      <c r="A176" s="41"/>
      <c r="B176" s="209" t="s">
        <v>332</v>
      </c>
      <c r="C176" s="196"/>
      <c r="D176" s="195"/>
      <c r="E176" s="195"/>
      <c r="F176" s="210"/>
      <c r="G176" s="9"/>
      <c r="H176" s="195"/>
      <c r="I176" s="490"/>
      <c r="J176" s="490"/>
      <c r="K176" s="490"/>
      <c r="L176" s="189"/>
      <c r="M176" s="40"/>
    </row>
    <row r="177" spans="1:12" ht="19.5" customHeight="1">
      <c r="A177" s="41"/>
      <c r="B177" s="1494" t="s">
        <v>428</v>
      </c>
      <c r="C177" s="1495"/>
      <c r="D177" s="1495"/>
      <c r="E177" s="1495"/>
      <c r="F177" s="1496"/>
      <c r="G177" s="490"/>
      <c r="H177" s="490"/>
      <c r="I177" s="490"/>
      <c r="J177" s="9"/>
      <c r="K177" s="9"/>
      <c r="L177" s="189"/>
    </row>
    <row r="178" spans="1:12" ht="48" customHeight="1" thickBot="1">
      <c r="A178" s="41"/>
      <c r="B178" s="1494" t="s">
        <v>763</v>
      </c>
      <c r="C178" s="1495"/>
      <c r="D178" s="1495"/>
      <c r="E178" s="1495"/>
      <c r="F178" s="1496"/>
      <c r="G178" s="490">
        <v>1.3</v>
      </c>
      <c r="H178" s="490">
        <v>1.3</v>
      </c>
      <c r="I178" s="490"/>
      <c r="J178" s="9">
        <f>G178*J175</f>
        <v>109.73649209999999</v>
      </c>
      <c r="K178" s="9">
        <f>H178*K175</f>
        <v>12898.783976183333</v>
      </c>
      <c r="L178" s="189"/>
    </row>
    <row r="179" spans="1:12" ht="48" customHeight="1">
      <c r="A179" s="1468" t="s">
        <v>24</v>
      </c>
      <c r="B179" s="1470" t="s">
        <v>2</v>
      </c>
      <c r="C179" s="1470" t="s">
        <v>39</v>
      </c>
      <c r="D179" s="1470" t="s">
        <v>112</v>
      </c>
      <c r="E179" s="1470" t="s">
        <v>415</v>
      </c>
      <c r="F179" s="1472" t="s">
        <v>28</v>
      </c>
      <c r="G179" s="1498" t="s">
        <v>361</v>
      </c>
      <c r="H179" s="1498"/>
      <c r="I179" s="1498"/>
      <c r="J179" s="1482" t="s">
        <v>36</v>
      </c>
      <c r="K179" s="1482"/>
      <c r="L179" s="1483"/>
    </row>
    <row r="180" spans="1:12" ht="48" customHeight="1">
      <c r="A180" s="1469"/>
      <c r="B180" s="1471"/>
      <c r="C180" s="1471"/>
      <c r="D180" s="1471"/>
      <c r="E180" s="1471"/>
      <c r="F180" s="1473"/>
      <c r="G180" s="325" t="s">
        <v>752</v>
      </c>
      <c r="H180" s="325" t="s">
        <v>363</v>
      </c>
      <c r="I180" s="325" t="s">
        <v>364</v>
      </c>
      <c r="J180" s="325" t="s">
        <v>752</v>
      </c>
      <c r="K180" s="326" t="s">
        <v>363</v>
      </c>
      <c r="L180" s="327" t="s">
        <v>364</v>
      </c>
    </row>
    <row r="181" spans="1:12" s="12" customFormat="1" ht="36.6" customHeight="1">
      <c r="A181" s="407" t="str">
        <f>L_CViec!A334</f>
        <v>VI</v>
      </c>
      <c r="B181" s="1527" t="str">
        <f>L_CViec!B334</f>
        <v>Đăng ký, cấp đổi, cấp lại Giấy chứng nhận riêng lẻ đối với tổ chức, tổ chức tôn giáo, tổ chức tôn giáo trực thuộc, tổ chức nước ngoài có chức năng ngoại giao, tổ chức kinh tế có vốn đầu tư nước ngoài, tổ chức nước ngoài, cá nhân nước ngoài</v>
      </c>
      <c r="C181" s="1528">
        <f>L_CViec!C372</f>
        <v>0</v>
      </c>
      <c r="D181" s="1528">
        <f>L_CViec!D372</f>
        <v>0</v>
      </c>
      <c r="E181" s="1528"/>
      <c r="F181" s="1528"/>
      <c r="G181" s="1528"/>
      <c r="H181" s="1528"/>
      <c r="I181" s="1529"/>
      <c r="J181" s="405"/>
      <c r="K181" s="405"/>
      <c r="L181" s="406" t="s">
        <v>514</v>
      </c>
    </row>
    <row r="182" spans="1:12" ht="18.75" customHeight="1">
      <c r="A182" s="41">
        <v>1</v>
      </c>
      <c r="B182" s="42" t="s">
        <v>367</v>
      </c>
      <c r="C182" s="8" t="s">
        <v>366</v>
      </c>
      <c r="D182" s="8">
        <v>96</v>
      </c>
      <c r="E182" s="40">
        <f>'Gia_Dcu-Tbi-Vlieu'!$E$6</f>
        <v>568000</v>
      </c>
      <c r="F182" s="52">
        <f t="shared" ref="F182:F191" si="35">E182/D182/26</f>
        <v>227.56410256410257</v>
      </c>
      <c r="G182" s="485">
        <v>2.4E-2</v>
      </c>
      <c r="H182" s="485"/>
      <c r="I182" s="485">
        <v>3.2639999999999998</v>
      </c>
      <c r="J182" s="185">
        <f t="shared" ref="J182:L184" si="36">$F182*G182</f>
        <v>5.4615384615384617</v>
      </c>
      <c r="K182" s="185">
        <f t="shared" si="36"/>
        <v>0</v>
      </c>
      <c r="L182" s="17">
        <f t="shared" si="36"/>
        <v>742.76923076923072</v>
      </c>
    </row>
    <row r="183" spans="1:12" ht="18.75" customHeight="1">
      <c r="A183" s="41">
        <v>2</v>
      </c>
      <c r="B183" s="42" t="s">
        <v>49</v>
      </c>
      <c r="C183" s="8" t="s">
        <v>366</v>
      </c>
      <c r="D183" s="8">
        <v>96</v>
      </c>
      <c r="E183" s="40">
        <f>'Gia_Dcu-Tbi-Vlieu'!$E$7</f>
        <v>1620000</v>
      </c>
      <c r="F183" s="52">
        <f t="shared" si="35"/>
        <v>649.03846153846155</v>
      </c>
      <c r="G183" s="485">
        <v>2.4E-2</v>
      </c>
      <c r="H183" s="485"/>
      <c r="I183" s="485">
        <v>3.2639999999999998</v>
      </c>
      <c r="J183" s="185">
        <f t="shared" si="36"/>
        <v>15.576923076923077</v>
      </c>
      <c r="K183" s="185">
        <f t="shared" si="36"/>
        <v>0</v>
      </c>
      <c r="L183" s="17">
        <f t="shared" si="36"/>
        <v>2118.4615384615386</v>
      </c>
    </row>
    <row r="184" spans="1:12" ht="18.75" customHeight="1">
      <c r="A184" s="41">
        <v>3</v>
      </c>
      <c r="B184" s="42" t="s">
        <v>368</v>
      </c>
      <c r="C184" s="8" t="s">
        <v>366</v>
      </c>
      <c r="D184" s="8">
        <v>60</v>
      </c>
      <c r="E184" s="40">
        <f>'Gia_Dcu-Tbi-Vlieu'!$E$8</f>
        <v>3500000</v>
      </c>
      <c r="F184" s="52">
        <f t="shared" si="35"/>
        <v>2243.5897435897436</v>
      </c>
      <c r="G184" s="485">
        <v>2.4E-2</v>
      </c>
      <c r="H184" s="485"/>
      <c r="I184" s="485">
        <v>2.464</v>
      </c>
      <c r="J184" s="185">
        <f t="shared" si="36"/>
        <v>53.846153846153847</v>
      </c>
      <c r="K184" s="185">
        <f t="shared" si="36"/>
        <v>0</v>
      </c>
      <c r="L184" s="17">
        <f t="shared" si="36"/>
        <v>5528.2051282051279</v>
      </c>
    </row>
    <row r="185" spans="1:12" ht="18.75" customHeight="1">
      <c r="A185" s="41">
        <v>4</v>
      </c>
      <c r="B185" s="42" t="s">
        <v>371</v>
      </c>
      <c r="C185" s="8" t="s">
        <v>366</v>
      </c>
      <c r="D185" s="8">
        <v>12</v>
      </c>
      <c r="E185" s="40">
        <f>'Gia_Dcu-Tbi-Vlieu'!$E$11</f>
        <v>1125000</v>
      </c>
      <c r="F185" s="52">
        <f t="shared" si="35"/>
        <v>3605.7692307692309</v>
      </c>
      <c r="G185" s="485"/>
      <c r="H185" s="485"/>
      <c r="I185" s="485">
        <v>1.4E-2</v>
      </c>
      <c r="J185" s="185">
        <f t="shared" ref="J185:L188" si="37">$F185*G185</f>
        <v>0</v>
      </c>
      <c r="K185" s="185">
        <f t="shared" si="37"/>
        <v>0</v>
      </c>
      <c r="L185" s="17">
        <f t="shared" si="37"/>
        <v>50.480769230769234</v>
      </c>
    </row>
    <row r="186" spans="1:12" ht="18.75" customHeight="1">
      <c r="A186" s="41">
        <v>5</v>
      </c>
      <c r="B186" s="42" t="s">
        <v>372</v>
      </c>
      <c r="C186" s="8" t="s">
        <v>366</v>
      </c>
      <c r="D186" s="8">
        <v>12</v>
      </c>
      <c r="E186" s="40">
        <f>'Gia_Dcu-Tbi-Vlieu'!$E$12</f>
        <v>15000</v>
      </c>
      <c r="F186" s="52">
        <f t="shared" si="35"/>
        <v>48.07692307692308</v>
      </c>
      <c r="G186" s="485"/>
      <c r="H186" s="485"/>
      <c r="I186" s="485">
        <v>0.64</v>
      </c>
      <c r="J186" s="185">
        <f t="shared" si="37"/>
        <v>0</v>
      </c>
      <c r="K186" s="185">
        <f t="shared" si="37"/>
        <v>0</v>
      </c>
      <c r="L186" s="17">
        <f t="shared" si="37"/>
        <v>30.769230769230774</v>
      </c>
    </row>
    <row r="187" spans="1:12" ht="18.75" customHeight="1">
      <c r="A187" s="41">
        <v>6</v>
      </c>
      <c r="B187" s="42" t="s">
        <v>373</v>
      </c>
      <c r="C187" s="8" t="s">
        <v>366</v>
      </c>
      <c r="D187" s="8">
        <v>12</v>
      </c>
      <c r="E187" s="40">
        <f>'Gia_Dcu-Tbi-Vlieu'!$E$13</f>
        <v>530000</v>
      </c>
      <c r="F187" s="52">
        <f t="shared" si="35"/>
        <v>1698.7179487179487</v>
      </c>
      <c r="G187" s="485"/>
      <c r="H187" s="485"/>
      <c r="I187" s="485">
        <v>0.2</v>
      </c>
      <c r="J187" s="185">
        <f t="shared" si="37"/>
        <v>0</v>
      </c>
      <c r="K187" s="185">
        <f t="shared" si="37"/>
        <v>0</v>
      </c>
      <c r="L187" s="17">
        <f t="shared" si="37"/>
        <v>339.74358974358978</v>
      </c>
    </row>
    <row r="188" spans="1:12" ht="18.75" customHeight="1">
      <c r="A188" s="41">
        <v>7</v>
      </c>
      <c r="B188" s="42" t="s">
        <v>374</v>
      </c>
      <c r="C188" s="8" t="s">
        <v>366</v>
      </c>
      <c r="D188" s="8">
        <v>9</v>
      </c>
      <c r="E188" s="40">
        <f>'Gia_Dcu-Tbi-Vlieu'!$E$14</f>
        <v>30000</v>
      </c>
      <c r="F188" s="52">
        <f t="shared" si="35"/>
        <v>128.2051282051282</v>
      </c>
      <c r="G188" s="485"/>
      <c r="H188" s="485"/>
      <c r="I188" s="485">
        <v>9.6000000000000002E-2</v>
      </c>
      <c r="J188" s="185">
        <f t="shared" si="37"/>
        <v>0</v>
      </c>
      <c r="K188" s="185">
        <f t="shared" si="37"/>
        <v>0</v>
      </c>
      <c r="L188" s="17">
        <f t="shared" si="37"/>
        <v>12.307692307692308</v>
      </c>
    </row>
    <row r="189" spans="1:12" ht="18.75" customHeight="1">
      <c r="A189" s="41">
        <v>8</v>
      </c>
      <c r="B189" s="42" t="s">
        <v>377</v>
      </c>
      <c r="C189" s="8" t="s">
        <v>366</v>
      </c>
      <c r="D189" s="8">
        <v>12</v>
      </c>
      <c r="E189" s="40">
        <f>'Gia_Dcu-Tbi-Vlieu'!$E$18</f>
        <v>85000</v>
      </c>
      <c r="F189" s="52">
        <f t="shared" si="35"/>
        <v>272.4358974358974</v>
      </c>
      <c r="G189" s="485"/>
      <c r="H189" s="485"/>
      <c r="I189" s="485">
        <v>0.2</v>
      </c>
      <c r="J189" s="185">
        <f t="shared" ref="J189:L192" si="38">$F189*G189</f>
        <v>0</v>
      </c>
      <c r="K189" s="185">
        <f t="shared" si="38"/>
        <v>0</v>
      </c>
      <c r="L189" s="17">
        <f t="shared" si="38"/>
        <v>54.487179487179482</v>
      </c>
    </row>
    <row r="190" spans="1:12" ht="18.75" customHeight="1">
      <c r="A190" s="41">
        <v>9</v>
      </c>
      <c r="B190" s="42" t="s">
        <v>378</v>
      </c>
      <c r="C190" s="8" t="s">
        <v>366</v>
      </c>
      <c r="D190" s="8">
        <v>36</v>
      </c>
      <c r="E190" s="40">
        <f>'Gia_Dcu-Tbi-Vlieu'!$E$19</f>
        <v>795000</v>
      </c>
      <c r="F190" s="52">
        <f t="shared" si="35"/>
        <v>849.35897435897436</v>
      </c>
      <c r="G190" s="485">
        <v>1.2E-2</v>
      </c>
      <c r="H190" s="485"/>
      <c r="I190" s="485">
        <v>1.202</v>
      </c>
      <c r="J190" s="185">
        <f t="shared" si="38"/>
        <v>10.192307692307693</v>
      </c>
      <c r="K190" s="185">
        <f t="shared" si="38"/>
        <v>0</v>
      </c>
      <c r="L190" s="17">
        <f t="shared" si="38"/>
        <v>1020.9294871794872</v>
      </c>
    </row>
    <row r="191" spans="1:12" ht="18.75" customHeight="1">
      <c r="A191" s="41">
        <v>10</v>
      </c>
      <c r="B191" s="42" t="s">
        <v>379</v>
      </c>
      <c r="C191" s="8" t="s">
        <v>380</v>
      </c>
      <c r="D191" s="8">
        <v>30</v>
      </c>
      <c r="E191" s="40">
        <f>'Gia_Dcu-Tbi-Vlieu'!$E$20</f>
        <v>212000</v>
      </c>
      <c r="F191" s="52">
        <f t="shared" si="35"/>
        <v>271.79487179487182</v>
      </c>
      <c r="G191" s="485">
        <v>2.4E-2</v>
      </c>
      <c r="H191" s="485"/>
      <c r="I191" s="485">
        <v>3.2639999999999998</v>
      </c>
      <c r="J191" s="185">
        <f t="shared" si="38"/>
        <v>6.5230769230769239</v>
      </c>
      <c r="K191" s="185">
        <f t="shared" si="38"/>
        <v>0</v>
      </c>
      <c r="L191" s="17">
        <f t="shared" si="38"/>
        <v>887.13846153846157</v>
      </c>
    </row>
    <row r="192" spans="1:12" ht="18.75" customHeight="1">
      <c r="A192" s="41">
        <v>11</v>
      </c>
      <c r="B192" s="1159" t="s">
        <v>18</v>
      </c>
      <c r="C192" s="48" t="s">
        <v>381</v>
      </c>
      <c r="D192" s="1160">
        <v>1</v>
      </c>
      <c r="E192" s="49">
        <f>'Gia_Dcu-Tbi-Vlieu'!$E$21</f>
        <v>2204.0655000000002</v>
      </c>
      <c r="F192" s="1161">
        <f>D192*E192</f>
        <v>2204.0655000000002</v>
      </c>
      <c r="G192" s="1162">
        <v>1.7999999999999999E-2</v>
      </c>
      <c r="H192" s="1162"/>
      <c r="I192" s="1162">
        <v>2.0059999999999998</v>
      </c>
      <c r="J192" s="1163">
        <f t="shared" si="38"/>
        <v>39.673178999999998</v>
      </c>
      <c r="K192" s="1163">
        <f t="shared" si="38"/>
        <v>0</v>
      </c>
      <c r="L192" s="45">
        <f t="shared" si="38"/>
        <v>4421.3553929999998</v>
      </c>
    </row>
    <row r="193" spans="1:14" s="15" customFormat="1" ht="30" customHeight="1">
      <c r="A193" s="411"/>
      <c r="B193" s="412" t="s">
        <v>764</v>
      </c>
      <c r="C193" s="413"/>
      <c r="D193" s="414"/>
      <c r="E193" s="415"/>
      <c r="F193" s="416"/>
      <c r="G193" s="487"/>
      <c r="H193" s="487"/>
      <c r="I193" s="488">
        <v>1</v>
      </c>
      <c r="J193" s="417">
        <f>SUM(J182:J191)*$I193+J192</f>
        <v>131.273179</v>
      </c>
      <c r="K193" s="417">
        <f>SUM(K182:K191)*$I193+K192</f>
        <v>0</v>
      </c>
      <c r="L193" s="417">
        <f>SUM(L182:L191)*$I193+L192</f>
        <v>15206.647700692307</v>
      </c>
    </row>
    <row r="194" spans="1:14" ht="18.75" customHeight="1">
      <c r="A194" s="41"/>
      <c r="B194" s="209" t="s">
        <v>332</v>
      </c>
      <c r="C194" s="196"/>
      <c r="D194" s="195"/>
      <c r="E194" s="195"/>
      <c r="F194" s="210"/>
      <c r="G194" s="9"/>
      <c r="H194" s="195"/>
      <c r="I194" s="490"/>
      <c r="J194" s="490"/>
      <c r="K194" s="490"/>
      <c r="L194" s="189"/>
      <c r="M194" s="40"/>
    </row>
    <row r="195" spans="1:14" ht="18.75" customHeight="1">
      <c r="A195" s="41"/>
      <c r="B195" s="195" t="s">
        <v>428</v>
      </c>
      <c r="C195" s="196"/>
      <c r="D195" s="195"/>
      <c r="E195" s="195"/>
      <c r="F195" s="210"/>
      <c r="G195" s="490"/>
      <c r="H195" s="490"/>
      <c r="I195" s="490"/>
      <c r="J195" s="9"/>
      <c r="K195" s="9"/>
      <c r="L195" s="189"/>
    </row>
    <row r="196" spans="1:14" ht="51.75" customHeight="1">
      <c r="A196" s="41"/>
      <c r="B196" s="1477" t="s">
        <v>462</v>
      </c>
      <c r="C196" s="1478"/>
      <c r="D196" s="1478"/>
      <c r="E196" s="1478"/>
      <c r="F196" s="1536"/>
      <c r="G196" s="490">
        <v>1.3</v>
      </c>
      <c r="H196" s="490"/>
      <c r="I196" s="490">
        <v>1.3</v>
      </c>
      <c r="J196" s="9">
        <f>G196*J193</f>
        <v>170.6551327</v>
      </c>
      <c r="K196" s="9">
        <f>H196*K193</f>
        <v>0</v>
      </c>
      <c r="L196" s="189">
        <f>I196*L193</f>
        <v>19768.642010899999</v>
      </c>
    </row>
    <row r="197" spans="1:14" ht="16.5" thickBot="1">
      <c r="A197" s="240"/>
      <c r="B197" s="190"/>
      <c r="C197" s="191"/>
      <c r="D197" s="190"/>
      <c r="E197" s="190"/>
      <c r="F197" s="213"/>
      <c r="G197" s="214"/>
      <c r="H197" s="214"/>
      <c r="I197" s="214"/>
      <c r="J197" s="49"/>
      <c r="K197" s="49"/>
      <c r="L197" s="192"/>
    </row>
    <row r="198" spans="1:14" s="174" customFormat="1" ht="15.75" customHeight="1">
      <c r="A198" s="1468" t="s">
        <v>24</v>
      </c>
      <c r="B198" s="1470" t="s">
        <v>2</v>
      </c>
      <c r="C198" s="1470" t="s">
        <v>39</v>
      </c>
      <c r="D198" s="1470" t="s">
        <v>112</v>
      </c>
      <c r="E198" s="1470" t="s">
        <v>31</v>
      </c>
      <c r="F198" s="1472" t="s">
        <v>28</v>
      </c>
      <c r="G198" s="1545" t="s">
        <v>361</v>
      </c>
      <c r="H198" s="1546"/>
      <c r="I198" s="1546"/>
      <c r="J198" s="1547"/>
      <c r="K198" s="1548" t="s">
        <v>36</v>
      </c>
      <c r="L198" s="1549"/>
      <c r="M198" s="1549"/>
      <c r="N198" s="1550"/>
    </row>
    <row r="199" spans="1:14" s="174" customFormat="1" ht="43.5" customHeight="1">
      <c r="A199" s="1514"/>
      <c r="B199" s="1490"/>
      <c r="C199" s="1490"/>
      <c r="D199" s="1490"/>
      <c r="E199" s="1490"/>
      <c r="F199" s="1476"/>
      <c r="G199" s="1502" t="s">
        <v>979</v>
      </c>
      <c r="H199" s="1503"/>
      <c r="I199" s="1502"/>
      <c r="J199" s="1503"/>
      <c r="K199" s="1502" t="s">
        <v>979</v>
      </c>
      <c r="L199" s="1503"/>
      <c r="M199" s="1510"/>
      <c r="N199" s="1551"/>
    </row>
    <row r="200" spans="1:14" s="12" customFormat="1" ht="35.450000000000003" customHeight="1">
      <c r="A200" s="238" t="str">
        <f>L_CViec!A384</f>
        <v>VII</v>
      </c>
      <c r="B200" s="1479" t="str">
        <f>L_CViec!B384</f>
        <v>Đăng ký biến động đất đai đối với hộ gia đình, cá nhân, cộng đồng dân cư, người gốc Việt Nam định cư ở nước ngoài</v>
      </c>
      <c r="C200" s="1480"/>
      <c r="D200" s="1480"/>
      <c r="E200" s="1480"/>
      <c r="F200" s="1480"/>
      <c r="G200" s="1480"/>
      <c r="H200" s="1480"/>
      <c r="I200" s="1480"/>
      <c r="J200" s="1481"/>
      <c r="K200" s="404" t="s">
        <v>448</v>
      </c>
      <c r="L200" s="405"/>
      <c r="M200" s="405"/>
      <c r="N200" s="404" t="s">
        <v>448</v>
      </c>
    </row>
    <row r="201" spans="1:14" ht="20.25" customHeight="1">
      <c r="A201" s="41">
        <v>1</v>
      </c>
      <c r="B201" s="42" t="s">
        <v>367</v>
      </c>
      <c r="C201" s="8" t="s">
        <v>366</v>
      </c>
      <c r="D201" s="8">
        <v>96</v>
      </c>
      <c r="E201" s="9">
        <f>'Gia_Dcu-Tbi-Vlieu'!$E$6</f>
        <v>568000</v>
      </c>
      <c r="F201" s="52">
        <f t="shared" ref="F201:F209" si="39">E201/D201/26</f>
        <v>227.56410256410257</v>
      </c>
      <c r="G201" s="485">
        <v>3.12</v>
      </c>
      <c r="H201" s="485"/>
      <c r="I201" s="485"/>
      <c r="J201" s="485"/>
      <c r="K201" s="185">
        <f t="shared" ref="K201:K210" si="40">$F201*G201</f>
        <v>710</v>
      </c>
      <c r="L201" s="185">
        <f t="shared" ref="L201:L210" si="41">$F201*H201</f>
        <v>0</v>
      </c>
      <c r="M201" s="222">
        <f t="shared" ref="M201:M210" si="42">$F201*I201</f>
        <v>0</v>
      </c>
      <c r="N201" s="17">
        <f t="shared" ref="N201:N210" si="43">$F201*J201</f>
        <v>0</v>
      </c>
    </row>
    <row r="202" spans="1:14" ht="20.25" customHeight="1">
      <c r="A202" s="41">
        <v>2</v>
      </c>
      <c r="B202" s="42" t="s">
        <v>49</v>
      </c>
      <c r="C202" s="8" t="s">
        <v>366</v>
      </c>
      <c r="D202" s="8">
        <v>96</v>
      </c>
      <c r="E202" s="9">
        <f>'Gia_Dcu-Tbi-Vlieu'!$E$7</f>
        <v>1620000</v>
      </c>
      <c r="F202" s="52">
        <f t="shared" si="39"/>
        <v>649.03846153846155</v>
      </c>
      <c r="G202" s="485">
        <v>3.12</v>
      </c>
      <c r="H202" s="485"/>
      <c r="I202" s="485"/>
      <c r="J202" s="485"/>
      <c r="K202" s="185">
        <f t="shared" si="40"/>
        <v>2025</v>
      </c>
      <c r="L202" s="185">
        <f t="shared" si="41"/>
        <v>0</v>
      </c>
      <c r="M202" s="222">
        <f t="shared" si="42"/>
        <v>0</v>
      </c>
      <c r="N202" s="17">
        <f t="shared" si="43"/>
        <v>0</v>
      </c>
    </row>
    <row r="203" spans="1:14" ht="20.25" customHeight="1">
      <c r="A203" s="41">
        <v>3</v>
      </c>
      <c r="B203" s="42" t="s">
        <v>368</v>
      </c>
      <c r="C203" s="8" t="s">
        <v>366</v>
      </c>
      <c r="D203" s="8">
        <v>96</v>
      </c>
      <c r="E203" s="9">
        <f>'Gia_Dcu-Tbi-Vlieu'!$E$8</f>
        <v>3500000</v>
      </c>
      <c r="F203" s="52">
        <f t="shared" si="39"/>
        <v>1402.2435897435898</v>
      </c>
      <c r="G203" s="485">
        <v>2.4</v>
      </c>
      <c r="H203" s="485"/>
      <c r="I203" s="485"/>
      <c r="J203" s="485"/>
      <c r="K203" s="185">
        <f t="shared" si="40"/>
        <v>3365.3846153846157</v>
      </c>
      <c r="L203" s="185">
        <f t="shared" si="41"/>
        <v>0</v>
      </c>
      <c r="M203" s="222">
        <f t="shared" si="42"/>
        <v>0</v>
      </c>
      <c r="N203" s="17">
        <f t="shared" si="43"/>
        <v>0</v>
      </c>
    </row>
    <row r="204" spans="1:14" ht="20.25" customHeight="1">
      <c r="A204" s="41">
        <v>4</v>
      </c>
      <c r="B204" s="42" t="s">
        <v>371</v>
      </c>
      <c r="C204" s="8" t="s">
        <v>366</v>
      </c>
      <c r="D204" s="8">
        <v>12</v>
      </c>
      <c r="E204" s="9">
        <f>'Gia_Dcu-Tbi-Vlieu'!$E$11</f>
        <v>1125000</v>
      </c>
      <c r="F204" s="52">
        <f t="shared" si="39"/>
        <v>3605.7692307692309</v>
      </c>
      <c r="G204" s="485">
        <v>0.33800000000000002</v>
      </c>
      <c r="H204" s="485"/>
      <c r="I204" s="485"/>
      <c r="J204" s="485"/>
      <c r="K204" s="185">
        <f t="shared" si="40"/>
        <v>1218.7500000000002</v>
      </c>
      <c r="L204" s="185">
        <f t="shared" si="41"/>
        <v>0</v>
      </c>
      <c r="M204" s="222">
        <f t="shared" si="42"/>
        <v>0</v>
      </c>
      <c r="N204" s="17">
        <f t="shared" si="43"/>
        <v>0</v>
      </c>
    </row>
    <row r="205" spans="1:14" ht="20.25" customHeight="1">
      <c r="A205" s="41">
        <v>5</v>
      </c>
      <c r="B205" s="42" t="s">
        <v>372</v>
      </c>
      <c r="C205" s="8" t="s">
        <v>366</v>
      </c>
      <c r="D205" s="8">
        <v>12</v>
      </c>
      <c r="E205" s="9">
        <f>'Gia_Dcu-Tbi-Vlieu'!$E$12</f>
        <v>15000</v>
      </c>
      <c r="F205" s="52">
        <f t="shared" si="39"/>
        <v>48.07692307692308</v>
      </c>
      <c r="G205" s="485">
        <v>0.83299999999999996</v>
      </c>
      <c r="H205" s="485"/>
      <c r="I205" s="485"/>
      <c r="J205" s="485"/>
      <c r="K205" s="185">
        <f t="shared" si="40"/>
        <v>40.048076923076927</v>
      </c>
      <c r="L205" s="185">
        <f t="shared" si="41"/>
        <v>0</v>
      </c>
      <c r="M205" s="222">
        <f t="shared" si="42"/>
        <v>0</v>
      </c>
      <c r="N205" s="17">
        <f t="shared" si="43"/>
        <v>0</v>
      </c>
    </row>
    <row r="206" spans="1:14" ht="20.25" customHeight="1">
      <c r="A206" s="41">
        <v>6</v>
      </c>
      <c r="B206" s="42" t="s">
        <v>373</v>
      </c>
      <c r="C206" s="8" t="s">
        <v>366</v>
      </c>
      <c r="D206" s="8">
        <v>12</v>
      </c>
      <c r="E206" s="9">
        <f>'Gia_Dcu-Tbi-Vlieu'!$E$13</f>
        <v>530000</v>
      </c>
      <c r="F206" s="52">
        <f t="shared" si="39"/>
        <v>1698.7179487179487</v>
      </c>
      <c r="G206" s="485">
        <v>0.39600000000000002</v>
      </c>
      <c r="H206" s="485"/>
      <c r="I206" s="485"/>
      <c r="J206" s="485"/>
      <c r="K206" s="185">
        <f t="shared" si="40"/>
        <v>672.69230769230774</v>
      </c>
      <c r="L206" s="185">
        <f t="shared" si="41"/>
        <v>0</v>
      </c>
      <c r="M206" s="222">
        <f t="shared" si="42"/>
        <v>0</v>
      </c>
      <c r="N206" s="17">
        <f t="shared" si="43"/>
        <v>0</v>
      </c>
    </row>
    <row r="207" spans="1:14" ht="20.25" customHeight="1">
      <c r="A207" s="41">
        <v>7</v>
      </c>
      <c r="B207" s="42" t="s">
        <v>377</v>
      </c>
      <c r="C207" s="8" t="s">
        <v>366</v>
      </c>
      <c r="D207" s="8">
        <v>12</v>
      </c>
      <c r="E207" s="9">
        <f>'Gia_Dcu-Tbi-Vlieu'!$E$18</f>
        <v>85000</v>
      </c>
      <c r="F207" s="52">
        <f t="shared" si="39"/>
        <v>272.4358974358974</v>
      </c>
      <c r="G207" s="485">
        <v>0.216</v>
      </c>
      <c r="H207" s="485"/>
      <c r="I207" s="485"/>
      <c r="J207" s="485"/>
      <c r="K207" s="185">
        <f t="shared" si="40"/>
        <v>58.84615384615384</v>
      </c>
      <c r="L207" s="185">
        <f t="shared" si="41"/>
        <v>0</v>
      </c>
      <c r="M207" s="222">
        <f t="shared" si="42"/>
        <v>0</v>
      </c>
      <c r="N207" s="17">
        <f t="shared" si="43"/>
        <v>0</v>
      </c>
    </row>
    <row r="208" spans="1:14" ht="20.25" customHeight="1">
      <c r="A208" s="41">
        <v>8</v>
      </c>
      <c r="B208" s="42" t="s">
        <v>378</v>
      </c>
      <c r="C208" s="8" t="s">
        <v>366</v>
      </c>
      <c r="D208" s="8">
        <v>36</v>
      </c>
      <c r="E208" s="9">
        <f>'Gia_Dcu-Tbi-Vlieu'!$E$19</f>
        <v>795000</v>
      </c>
      <c r="F208" s="52">
        <f t="shared" si="39"/>
        <v>849.35897435897436</v>
      </c>
      <c r="G208" s="485">
        <v>1.601</v>
      </c>
      <c r="H208" s="485"/>
      <c r="I208" s="485"/>
      <c r="J208" s="485"/>
      <c r="K208" s="185">
        <f t="shared" si="40"/>
        <v>1359.823717948718</v>
      </c>
      <c r="L208" s="185">
        <f t="shared" si="41"/>
        <v>0</v>
      </c>
      <c r="M208" s="222">
        <f t="shared" si="42"/>
        <v>0</v>
      </c>
      <c r="N208" s="17">
        <f t="shared" si="43"/>
        <v>0</v>
      </c>
    </row>
    <row r="209" spans="1:14" ht="20.25" customHeight="1">
      <c r="A209" s="41">
        <v>9</v>
      </c>
      <c r="B209" s="433" t="s">
        <v>379</v>
      </c>
      <c r="C209" s="434" t="s">
        <v>380</v>
      </c>
      <c r="D209" s="434">
        <v>30</v>
      </c>
      <c r="E209" s="401">
        <f>'Gia_Dcu-Tbi-Vlieu'!$E$20</f>
        <v>212000</v>
      </c>
      <c r="F209" s="435">
        <f t="shared" si="39"/>
        <v>271.79487179487182</v>
      </c>
      <c r="G209" s="495">
        <v>3.12</v>
      </c>
      <c r="H209" s="495"/>
      <c r="I209" s="495"/>
      <c r="J209" s="495"/>
      <c r="K209" s="249">
        <f t="shared" si="40"/>
        <v>848.00000000000011</v>
      </c>
      <c r="L209" s="249">
        <f t="shared" si="41"/>
        <v>0</v>
      </c>
      <c r="M209" s="250">
        <f t="shared" si="42"/>
        <v>0</v>
      </c>
      <c r="N209" s="251">
        <f t="shared" si="43"/>
        <v>0</v>
      </c>
    </row>
    <row r="210" spans="1:14" ht="20.25" customHeight="1">
      <c r="A210" s="41">
        <v>10</v>
      </c>
      <c r="B210" s="981" t="s">
        <v>18</v>
      </c>
      <c r="C210" s="838" t="s">
        <v>381</v>
      </c>
      <c r="D210" s="1160">
        <v>1</v>
      </c>
      <c r="E210" s="498">
        <f>'Gia_Dcu-Tbi-Vlieu'!$E$21</f>
        <v>2204.0655000000002</v>
      </c>
      <c r="F210" s="840">
        <f>D210*E210</f>
        <v>2204.0655000000002</v>
      </c>
      <c r="G210" s="1178">
        <v>2.4</v>
      </c>
      <c r="H210" s="1178"/>
      <c r="I210" s="1178"/>
      <c r="J210" s="1178"/>
      <c r="K210" s="841">
        <f t="shared" si="40"/>
        <v>5289.7572</v>
      </c>
      <c r="L210" s="841">
        <f t="shared" si="41"/>
        <v>0</v>
      </c>
      <c r="M210" s="841">
        <f t="shared" si="42"/>
        <v>0</v>
      </c>
      <c r="N210" s="1183">
        <f t="shared" si="43"/>
        <v>0</v>
      </c>
    </row>
    <row r="211" spans="1:14" s="15" customFormat="1" ht="32.25" customHeight="1">
      <c r="A211" s="437"/>
      <c r="B211" s="412" t="s">
        <v>764</v>
      </c>
      <c r="C211" s="438"/>
      <c r="D211" s="439"/>
      <c r="E211" s="427"/>
      <c r="F211" s="440"/>
      <c r="G211" s="496"/>
      <c r="H211" s="496"/>
      <c r="I211" s="488">
        <v>1</v>
      </c>
      <c r="J211" s="497"/>
      <c r="K211" s="441">
        <f>SUM(K201:K209)*$I211+K210</f>
        <v>15588.302071794873</v>
      </c>
      <c r="L211" s="441">
        <f>SUM(L201:L209)*$I211+L210</f>
        <v>0</v>
      </c>
      <c r="M211" s="441">
        <f>SUM(M201:M209)*$I211+M210</f>
        <v>0</v>
      </c>
      <c r="N211" s="441">
        <f>SUM(N201:N209)*$I211+N210</f>
        <v>0</v>
      </c>
    </row>
    <row r="212" spans="1:14" ht="20.25" customHeight="1">
      <c r="A212" s="442"/>
      <c r="B212" s="443" t="s">
        <v>332</v>
      </c>
      <c r="C212" s="444"/>
      <c r="D212" s="445"/>
      <c r="E212" s="445"/>
      <c r="F212" s="446"/>
      <c r="G212" s="498"/>
      <c r="H212" s="445"/>
      <c r="I212" s="445"/>
      <c r="J212" s="499"/>
      <c r="K212" s="499"/>
      <c r="L212" s="499"/>
      <c r="M212" s="499"/>
      <c r="N212" s="447"/>
    </row>
    <row r="213" spans="1:14" ht="20.25" customHeight="1">
      <c r="A213" s="199"/>
      <c r="B213" s="1474" t="s">
        <v>428</v>
      </c>
      <c r="C213" s="1475"/>
      <c r="D213" s="1475"/>
      <c r="E213" s="1475"/>
      <c r="F213" s="1475"/>
      <c r="G213" s="489"/>
      <c r="H213" s="489"/>
      <c r="I213" s="489"/>
      <c r="J213" s="489"/>
      <c r="K213" s="426"/>
      <c r="L213" s="426"/>
      <c r="M213" s="436"/>
      <c r="N213" s="410"/>
    </row>
    <row r="214" spans="1:14" ht="47.25" customHeight="1">
      <c r="A214" s="41"/>
      <c r="B214" s="1477" t="s">
        <v>467</v>
      </c>
      <c r="C214" s="1478"/>
      <c r="D214" s="1478"/>
      <c r="E214" s="1478"/>
      <c r="F214" s="1478"/>
      <c r="G214" s="490">
        <v>1.3</v>
      </c>
      <c r="H214" s="490">
        <v>1.3</v>
      </c>
      <c r="I214" s="490">
        <v>1.3</v>
      </c>
      <c r="J214" s="490">
        <v>1.3</v>
      </c>
      <c r="K214" s="9">
        <f t="shared" ref="K214:N215" si="44">G214*K$211</f>
        <v>20264.792693333337</v>
      </c>
      <c r="L214" s="9">
        <f t="shared" si="44"/>
        <v>0</v>
      </c>
      <c r="M214" s="223">
        <f t="shared" si="44"/>
        <v>0</v>
      </c>
      <c r="N214" s="189">
        <f t="shared" si="44"/>
        <v>0</v>
      </c>
    </row>
    <row r="215" spans="1:14" ht="54.75" customHeight="1">
      <c r="A215" s="41"/>
      <c r="B215" s="1477" t="s">
        <v>468</v>
      </c>
      <c r="C215" s="1478"/>
      <c r="D215" s="1478"/>
      <c r="E215" s="1478"/>
      <c r="F215" s="1478"/>
      <c r="G215" s="490">
        <v>0.6</v>
      </c>
      <c r="H215" s="490">
        <v>0.6</v>
      </c>
      <c r="I215" s="490">
        <v>0.6</v>
      </c>
      <c r="J215" s="490">
        <v>0.6</v>
      </c>
      <c r="K215" s="9">
        <f t="shared" si="44"/>
        <v>9352.9812430769234</v>
      </c>
      <c r="L215" s="9">
        <f t="shared" si="44"/>
        <v>0</v>
      </c>
      <c r="M215" s="223">
        <f t="shared" si="44"/>
        <v>0</v>
      </c>
      <c r="N215" s="189">
        <f t="shared" si="44"/>
        <v>0</v>
      </c>
    </row>
    <row r="216" spans="1:14">
      <c r="A216" s="240"/>
      <c r="B216" s="190"/>
      <c r="C216" s="191"/>
      <c r="D216" s="190"/>
      <c r="E216" s="190"/>
      <c r="F216" s="213"/>
      <c r="G216" s="500"/>
      <c r="H216" s="500"/>
      <c r="I216" s="500"/>
      <c r="J216" s="500"/>
      <c r="K216" s="49"/>
      <c r="L216" s="49"/>
      <c r="M216" s="224"/>
      <c r="N216" s="192"/>
    </row>
    <row r="217" spans="1:14" ht="16.5" thickBot="1">
      <c r="A217" s="1181"/>
      <c r="B217" s="867"/>
      <c r="F217" s="1182"/>
      <c r="G217" s="194"/>
      <c r="H217" s="194"/>
      <c r="I217" s="1184"/>
      <c r="J217" s="1153"/>
      <c r="K217" s="1152"/>
      <c r="L217" s="1185"/>
      <c r="M217" s="40"/>
      <c r="N217" s="40"/>
    </row>
    <row r="218" spans="1:14">
      <c r="A218" s="1468" t="s">
        <v>24</v>
      </c>
      <c r="B218" s="1470" t="s">
        <v>2</v>
      </c>
      <c r="C218" s="1470" t="s">
        <v>39</v>
      </c>
      <c r="D218" s="1470" t="s">
        <v>112</v>
      </c>
      <c r="E218" s="1470" t="s">
        <v>415</v>
      </c>
      <c r="F218" s="1472" t="s">
        <v>28</v>
      </c>
      <c r="G218" s="1498" t="s">
        <v>361</v>
      </c>
      <c r="H218" s="1498"/>
      <c r="I218" s="1498"/>
      <c r="J218" s="1482" t="s">
        <v>36</v>
      </c>
      <c r="K218" s="1482"/>
      <c r="L218" s="1483"/>
      <c r="M218" s="40"/>
      <c r="N218" s="40"/>
    </row>
    <row r="219" spans="1:14" ht="47.25">
      <c r="A219" s="1469"/>
      <c r="B219" s="1471"/>
      <c r="C219" s="1471"/>
      <c r="D219" s="1471"/>
      <c r="E219" s="1471"/>
      <c r="F219" s="1473"/>
      <c r="G219" s="325" t="s">
        <v>752</v>
      </c>
      <c r="H219" s="325" t="s">
        <v>363</v>
      </c>
      <c r="I219" s="325" t="s">
        <v>364</v>
      </c>
      <c r="J219" s="325" t="s">
        <v>752</v>
      </c>
      <c r="K219" s="326" t="s">
        <v>363</v>
      </c>
      <c r="L219" s="327" t="s">
        <v>364</v>
      </c>
      <c r="M219" s="40"/>
      <c r="N219" s="40"/>
    </row>
    <row r="220" spans="1:14" s="12" customFormat="1" ht="35.450000000000003" customHeight="1">
      <c r="A220" s="402" t="str">
        <f>L_CViec!A438</f>
        <v>VIII</v>
      </c>
      <c r="B220" s="1527" t="str">
        <f>L_CViec!B438</f>
        <v xml:space="preserve">Đăng ký biến động đất đai đối với tổ chức, tổ chức tôn giáo, tổ chức tôn giáo trực thuộc, tổ chức nước ngoài có chức năng ngoại giao, tổ chức kinh tế có vốn đầu tư nước ngoài, tổ chức nước ngoài, cá nhân nước ngoài </v>
      </c>
      <c r="C220" s="1528">
        <f>L_CViec!C436</f>
        <v>0</v>
      </c>
      <c r="D220" s="1528">
        <f>L_CViec!D436</f>
        <v>0</v>
      </c>
      <c r="E220" s="1528"/>
      <c r="F220" s="1528"/>
      <c r="G220" s="1528"/>
      <c r="H220" s="1528"/>
      <c r="I220" s="1529"/>
      <c r="J220" s="403"/>
      <c r="K220" s="403"/>
      <c r="L220" s="404" t="s">
        <v>765</v>
      </c>
    </row>
    <row r="221" spans="1:14" ht="18.75" customHeight="1">
      <c r="A221" s="41">
        <v>1</v>
      </c>
      <c r="B221" s="42" t="s">
        <v>367</v>
      </c>
      <c r="C221" s="8" t="s">
        <v>366</v>
      </c>
      <c r="D221" s="8">
        <v>96</v>
      </c>
      <c r="E221" s="9">
        <f>'Gia_Dcu-Tbi-Vlieu'!$E$6</f>
        <v>568000</v>
      </c>
      <c r="F221" s="52">
        <f t="shared" ref="F221:F227" si="45">E221/D221/26</f>
        <v>227.56410256410257</v>
      </c>
      <c r="G221" s="485">
        <v>1.7999999999999999E-2</v>
      </c>
      <c r="H221" s="485"/>
      <c r="I221" s="485">
        <v>6.84</v>
      </c>
      <c r="J221" s="185">
        <f t="shared" ref="J221:L224" si="46">$F221*G221</f>
        <v>4.0961538461538458</v>
      </c>
      <c r="K221" s="185">
        <f t="shared" si="46"/>
        <v>0</v>
      </c>
      <c r="L221" s="17">
        <f t="shared" si="46"/>
        <v>1556.5384615384614</v>
      </c>
    </row>
    <row r="222" spans="1:14" ht="18.75" customHeight="1">
      <c r="A222" s="41">
        <v>2</v>
      </c>
      <c r="B222" s="42" t="s">
        <v>49</v>
      </c>
      <c r="C222" s="8" t="s">
        <v>366</v>
      </c>
      <c r="D222" s="8">
        <v>96</v>
      </c>
      <c r="E222" s="9">
        <f>'Gia_Dcu-Tbi-Vlieu'!$E$7</f>
        <v>1620000</v>
      </c>
      <c r="F222" s="52">
        <f t="shared" si="45"/>
        <v>649.03846153846155</v>
      </c>
      <c r="G222" s="485">
        <v>1.7999999999999999E-2</v>
      </c>
      <c r="H222" s="485"/>
      <c r="I222" s="485">
        <v>6.84</v>
      </c>
      <c r="J222" s="185">
        <f t="shared" si="46"/>
        <v>11.682692307692307</v>
      </c>
      <c r="K222" s="185">
        <f t="shared" si="46"/>
        <v>0</v>
      </c>
      <c r="L222" s="17">
        <f t="shared" si="46"/>
        <v>4439.4230769230771</v>
      </c>
    </row>
    <row r="223" spans="1:14" ht="18.75" customHeight="1">
      <c r="A223" s="41">
        <v>3</v>
      </c>
      <c r="B223" s="42" t="s">
        <v>368</v>
      </c>
      <c r="C223" s="8" t="s">
        <v>366</v>
      </c>
      <c r="D223" s="8">
        <v>96</v>
      </c>
      <c r="E223" s="9">
        <f>'Gia_Dcu-Tbi-Vlieu'!$E$8</f>
        <v>3500000</v>
      </c>
      <c r="F223" s="52">
        <f t="shared" si="45"/>
        <v>1402.2435897435898</v>
      </c>
      <c r="G223" s="485">
        <v>1.7999999999999999E-2</v>
      </c>
      <c r="H223" s="485"/>
      <c r="I223" s="485">
        <v>4.4400000000000004</v>
      </c>
      <c r="J223" s="185">
        <f t="shared" si="46"/>
        <v>25.240384615384617</v>
      </c>
      <c r="K223" s="185">
        <f t="shared" si="46"/>
        <v>0</v>
      </c>
      <c r="L223" s="17">
        <f t="shared" si="46"/>
        <v>6225.961538461539</v>
      </c>
    </row>
    <row r="224" spans="1:14" ht="18.75" customHeight="1">
      <c r="A224" s="41">
        <v>4</v>
      </c>
      <c r="B224" s="42" t="s">
        <v>372</v>
      </c>
      <c r="C224" s="8" t="s">
        <v>366</v>
      </c>
      <c r="D224" s="8">
        <v>12</v>
      </c>
      <c r="E224" s="9">
        <f>'Gia_Dcu-Tbi-Vlieu'!$E$12</f>
        <v>15000</v>
      </c>
      <c r="F224" s="52">
        <f t="shared" si="45"/>
        <v>48.07692307692308</v>
      </c>
      <c r="G224" s="485">
        <v>8.0000000000000002E-3</v>
      </c>
      <c r="H224" s="485"/>
      <c r="I224" s="485">
        <v>2.3E-2</v>
      </c>
      <c r="J224" s="185">
        <f t="shared" si="46"/>
        <v>0.38461538461538464</v>
      </c>
      <c r="K224" s="185">
        <f t="shared" si="46"/>
        <v>0</v>
      </c>
      <c r="L224" s="17">
        <f t="shared" si="46"/>
        <v>1.1057692307692308</v>
      </c>
    </row>
    <row r="225" spans="1:13" ht="18.75" customHeight="1">
      <c r="A225" s="41">
        <v>5</v>
      </c>
      <c r="B225" s="42" t="s">
        <v>377</v>
      </c>
      <c r="C225" s="8" t="s">
        <v>366</v>
      </c>
      <c r="D225" s="8">
        <v>12</v>
      </c>
      <c r="E225" s="9">
        <f>'Gia_Dcu-Tbi-Vlieu'!$E$18</f>
        <v>85000</v>
      </c>
      <c r="F225" s="52">
        <f t="shared" si="45"/>
        <v>272.4358974358974</v>
      </c>
      <c r="G225" s="485"/>
      <c r="H225" s="485"/>
      <c r="I225" s="485">
        <v>1.4999999999999999E-2</v>
      </c>
      <c r="J225" s="185">
        <f t="shared" ref="J225:L228" si="47">$F225*G225</f>
        <v>0</v>
      </c>
      <c r="K225" s="185">
        <f t="shared" si="47"/>
        <v>0</v>
      </c>
      <c r="L225" s="17">
        <f t="shared" si="47"/>
        <v>4.0865384615384608</v>
      </c>
    </row>
    <row r="226" spans="1:13" ht="18.75" customHeight="1">
      <c r="A226" s="41">
        <v>6</v>
      </c>
      <c r="B226" s="42" t="s">
        <v>378</v>
      </c>
      <c r="C226" s="8" t="s">
        <v>366</v>
      </c>
      <c r="D226" s="8">
        <v>36</v>
      </c>
      <c r="E226" s="9">
        <f>'Gia_Dcu-Tbi-Vlieu'!$E$19</f>
        <v>795000</v>
      </c>
      <c r="F226" s="52">
        <f t="shared" si="45"/>
        <v>849.35897435897436</v>
      </c>
      <c r="G226" s="485">
        <v>1.2E-2</v>
      </c>
      <c r="H226" s="485"/>
      <c r="I226" s="485">
        <v>0.36</v>
      </c>
      <c r="J226" s="185">
        <f t="shared" si="47"/>
        <v>10.192307692307693</v>
      </c>
      <c r="K226" s="185">
        <f t="shared" si="47"/>
        <v>0</v>
      </c>
      <c r="L226" s="17">
        <f t="shared" si="47"/>
        <v>305.76923076923077</v>
      </c>
    </row>
    <row r="227" spans="1:13" ht="18.75" customHeight="1">
      <c r="A227" s="41">
        <v>7</v>
      </c>
      <c r="B227" s="42" t="s">
        <v>379</v>
      </c>
      <c r="C227" s="8" t="s">
        <v>380</v>
      </c>
      <c r="D227" s="8">
        <v>30</v>
      </c>
      <c r="E227" s="9">
        <f>'Gia_Dcu-Tbi-Vlieu'!$E$20</f>
        <v>212000</v>
      </c>
      <c r="F227" s="52">
        <f t="shared" si="45"/>
        <v>271.79487179487182</v>
      </c>
      <c r="G227" s="485">
        <v>1.7999999999999999E-2</v>
      </c>
      <c r="H227" s="485"/>
      <c r="I227" s="485">
        <v>4.4400000000000004</v>
      </c>
      <c r="J227" s="185">
        <f t="shared" si="47"/>
        <v>4.8923076923076927</v>
      </c>
      <c r="K227" s="185">
        <f t="shared" si="47"/>
        <v>0</v>
      </c>
      <c r="L227" s="17">
        <f t="shared" si="47"/>
        <v>1206.7692307692309</v>
      </c>
    </row>
    <row r="228" spans="1:13" ht="18.75" customHeight="1">
      <c r="A228" s="41">
        <v>8</v>
      </c>
      <c r="B228" s="1159" t="s">
        <v>18</v>
      </c>
      <c r="C228" s="48" t="s">
        <v>381</v>
      </c>
      <c r="D228" s="1160">
        <v>1</v>
      </c>
      <c r="E228" s="49">
        <f>'Gia_Dcu-Tbi-Vlieu'!$E$21</f>
        <v>2204.0655000000002</v>
      </c>
      <c r="F228" s="1161">
        <f>D228*E228</f>
        <v>2204.0655000000002</v>
      </c>
      <c r="G228" s="1162">
        <v>1.4999999999999999E-2</v>
      </c>
      <c r="H228" s="1162"/>
      <c r="I228" s="1162">
        <v>1.7090000000000001</v>
      </c>
      <c r="J228" s="1163">
        <f t="shared" si="47"/>
        <v>33.060982500000001</v>
      </c>
      <c r="K228" s="1163">
        <f t="shared" si="47"/>
        <v>0</v>
      </c>
      <c r="L228" s="45">
        <f t="shared" si="47"/>
        <v>3766.7479395000005</v>
      </c>
    </row>
    <row r="229" spans="1:13" s="15" customFormat="1" ht="18.75" customHeight="1">
      <c r="A229" s="411"/>
      <c r="B229" s="412" t="s">
        <v>580</v>
      </c>
      <c r="C229" s="413"/>
      <c r="D229" s="414"/>
      <c r="E229" s="415"/>
      <c r="F229" s="416"/>
      <c r="G229" s="487"/>
      <c r="H229" s="487"/>
      <c r="I229" s="488">
        <v>1</v>
      </c>
      <c r="J229" s="417">
        <f>SUM(J221:J227)*$I229+J228</f>
        <v>89.549444038461559</v>
      </c>
      <c r="K229" s="417">
        <f>SUM(K221:K227)*$I229+K228</f>
        <v>0</v>
      </c>
      <c r="L229" s="417">
        <f>SUM(L221:L227)*$I229+L228</f>
        <v>17506.401785653848</v>
      </c>
    </row>
    <row r="230" spans="1:13" ht="18.75" customHeight="1">
      <c r="A230" s="41"/>
      <c r="B230" s="209" t="s">
        <v>332</v>
      </c>
      <c r="C230" s="196"/>
      <c r="D230" s="195"/>
      <c r="E230" s="195"/>
      <c r="F230" s="210"/>
      <c r="G230" s="9"/>
      <c r="H230" s="195"/>
      <c r="I230" s="490"/>
      <c r="J230" s="490"/>
      <c r="K230" s="490"/>
      <c r="L230" s="189"/>
      <c r="M230" s="40"/>
    </row>
    <row r="231" spans="1:13" ht="18.75" customHeight="1">
      <c r="A231" s="41"/>
      <c r="B231" s="1494" t="s">
        <v>428</v>
      </c>
      <c r="C231" s="1495"/>
      <c r="D231" s="1495"/>
      <c r="E231" s="1495"/>
      <c r="F231" s="1496"/>
      <c r="G231" s="490"/>
      <c r="H231" s="490"/>
      <c r="I231" s="490"/>
      <c r="J231" s="9"/>
      <c r="K231" s="9"/>
      <c r="L231" s="189"/>
    </row>
    <row r="232" spans="1:13" ht="52.5" customHeight="1">
      <c r="A232" s="41"/>
      <c r="B232" s="1494" t="s">
        <v>766</v>
      </c>
      <c r="C232" s="1495"/>
      <c r="D232" s="1495"/>
      <c r="E232" s="1495"/>
      <c r="F232" s="1496"/>
      <c r="G232" s="490">
        <v>1.3</v>
      </c>
      <c r="H232" s="490"/>
      <c r="I232" s="490">
        <v>1.3</v>
      </c>
      <c r="J232" s="9">
        <f>G232*J229</f>
        <v>116.41427725000003</v>
      </c>
      <c r="K232" s="9">
        <f>H232*K229</f>
        <v>0</v>
      </c>
      <c r="L232" s="189">
        <f>I232*L229</f>
        <v>22758.322321350002</v>
      </c>
    </row>
    <row r="233" spans="1:13" ht="57" customHeight="1">
      <c r="A233" s="41"/>
      <c r="B233" s="1494" t="s">
        <v>767</v>
      </c>
      <c r="C233" s="1495"/>
      <c r="D233" s="1495"/>
      <c r="E233" s="1495"/>
      <c r="F233" s="1496"/>
      <c r="G233" s="490">
        <v>0.6</v>
      </c>
      <c r="H233" s="490"/>
      <c r="I233" s="490">
        <v>0.6</v>
      </c>
      <c r="J233" s="9">
        <f>G233*J229</f>
        <v>53.729666423076935</v>
      </c>
      <c r="K233" s="9">
        <f>H233*K229</f>
        <v>0</v>
      </c>
      <c r="L233" s="189">
        <f>I233*L229</f>
        <v>10503.841071392309</v>
      </c>
    </row>
    <row r="234" spans="1:13">
      <c r="A234" s="240"/>
      <c r="B234" s="190"/>
      <c r="C234" s="191"/>
      <c r="D234" s="190"/>
      <c r="E234" s="190"/>
      <c r="F234" s="213"/>
      <c r="G234" s="214"/>
      <c r="H234" s="214"/>
      <c r="I234" s="214"/>
      <c r="J234" s="49"/>
      <c r="K234" s="49"/>
      <c r="L234" s="192"/>
    </row>
    <row r="235" spans="1:13" ht="16.5" thickBot="1">
      <c r="A235" s="1181"/>
      <c r="B235" s="867"/>
      <c r="F235" s="1182"/>
      <c r="I235" s="1186"/>
      <c r="J235" s="1152"/>
      <c r="K235" s="1152"/>
      <c r="L235" s="1154"/>
    </row>
    <row r="236" spans="1:13" ht="15.75" customHeight="1">
      <c r="A236" s="1468" t="s">
        <v>24</v>
      </c>
      <c r="B236" s="1470" t="s">
        <v>2</v>
      </c>
      <c r="C236" s="1470" t="s">
        <v>39</v>
      </c>
      <c r="D236" s="1470" t="s">
        <v>112</v>
      </c>
      <c r="E236" s="1470" t="s">
        <v>415</v>
      </c>
      <c r="F236" s="1472" t="s">
        <v>28</v>
      </c>
      <c r="G236" s="1537" t="s">
        <v>361</v>
      </c>
      <c r="H236" s="1538"/>
      <c r="I236" s="1539"/>
      <c r="J236" s="1484" t="s">
        <v>36</v>
      </c>
      <c r="K236" s="1485"/>
      <c r="L236" s="1486"/>
    </row>
    <row r="237" spans="1:13">
      <c r="A237" s="1469"/>
      <c r="B237" s="1471"/>
      <c r="C237" s="1471"/>
      <c r="D237" s="1471"/>
      <c r="E237" s="1471"/>
      <c r="F237" s="1473"/>
      <c r="G237" s="1540"/>
      <c r="H237" s="1541"/>
      <c r="I237" s="1542"/>
      <c r="J237" s="1487"/>
      <c r="K237" s="1488"/>
      <c r="L237" s="1489"/>
    </row>
    <row r="238" spans="1:13" s="12" customFormat="1" ht="35.450000000000003" customHeight="1">
      <c r="A238" s="402" t="str">
        <f>L_CViec!A489</f>
        <v>XI</v>
      </c>
      <c r="B238" s="1527" t="str">
        <f>L_CViec!B489</f>
        <v>TRÍCH LỤC HỒ SƠ ĐỊA CHÍNH</v>
      </c>
      <c r="C238" s="1528"/>
      <c r="D238" s="1528"/>
      <c r="E238" s="1528"/>
      <c r="F238" s="1528"/>
      <c r="G238" s="1528"/>
      <c r="H238" s="1528"/>
      <c r="I238" s="1529"/>
      <c r="J238" s="404" t="s">
        <v>457</v>
      </c>
      <c r="K238" s="403"/>
      <c r="L238" s="404"/>
    </row>
    <row r="239" spans="1:13" ht="19.5" customHeight="1">
      <c r="A239" s="41">
        <v>1</v>
      </c>
      <c r="B239" s="42" t="s">
        <v>367</v>
      </c>
      <c r="C239" s="8" t="s">
        <v>366</v>
      </c>
      <c r="D239" s="8">
        <v>96</v>
      </c>
      <c r="E239" s="16">
        <f>'Gia_Dcu-Tbi-Vlieu'!E6</f>
        <v>568000</v>
      </c>
      <c r="F239" s="52">
        <f t="shared" ref="F239:F247" si="48">E239/D239/26</f>
        <v>227.56410256410257</v>
      </c>
      <c r="G239" s="485">
        <v>0.32</v>
      </c>
      <c r="H239" s="485"/>
      <c r="I239" s="485"/>
      <c r="J239" s="1229">
        <f t="shared" ref="J239:L241" si="49">$F239*G239</f>
        <v>72.820512820512818</v>
      </c>
      <c r="K239" s="185">
        <f t="shared" si="49"/>
        <v>0</v>
      </c>
      <c r="L239" s="17">
        <f t="shared" si="49"/>
        <v>0</v>
      </c>
    </row>
    <row r="240" spans="1:13" ht="19.5" customHeight="1">
      <c r="A240" s="41">
        <v>2</v>
      </c>
      <c r="B240" s="42" t="s">
        <v>49</v>
      </c>
      <c r="C240" s="8" t="s">
        <v>366</v>
      </c>
      <c r="D240" s="8">
        <v>96</v>
      </c>
      <c r="E240" s="16">
        <f>'Gia_Dcu-Tbi-Vlieu'!E7</f>
        <v>1620000</v>
      </c>
      <c r="F240" s="52">
        <f t="shared" si="48"/>
        <v>649.03846153846155</v>
      </c>
      <c r="G240" s="485">
        <v>0.32</v>
      </c>
      <c r="H240" s="485"/>
      <c r="I240" s="485"/>
      <c r="J240" s="1229">
        <f t="shared" si="49"/>
        <v>207.69230769230771</v>
      </c>
      <c r="K240" s="185">
        <f t="shared" si="49"/>
        <v>0</v>
      </c>
      <c r="L240" s="17">
        <f t="shared" si="49"/>
        <v>0</v>
      </c>
    </row>
    <row r="241" spans="1:13" ht="19.5" customHeight="1">
      <c r="A241" s="41">
        <v>3</v>
      </c>
      <c r="B241" s="42" t="s">
        <v>368</v>
      </c>
      <c r="C241" s="8" t="s">
        <v>366</v>
      </c>
      <c r="D241" s="8">
        <v>96</v>
      </c>
      <c r="E241" s="16">
        <f>'Gia_Dcu-Tbi-Vlieu'!E8</f>
        <v>3500000</v>
      </c>
      <c r="F241" s="52">
        <f t="shared" si="48"/>
        <v>1402.2435897435898</v>
      </c>
      <c r="G241" s="485">
        <v>0.08</v>
      </c>
      <c r="H241" s="485"/>
      <c r="I241" s="485"/>
      <c r="J241" s="1229">
        <f t="shared" si="49"/>
        <v>112.17948717948718</v>
      </c>
      <c r="K241" s="185">
        <f t="shared" si="49"/>
        <v>0</v>
      </c>
      <c r="L241" s="17">
        <f t="shared" si="49"/>
        <v>0</v>
      </c>
    </row>
    <row r="242" spans="1:13" ht="19.5" customHeight="1">
      <c r="A242" s="41">
        <v>4</v>
      </c>
      <c r="B242" s="42" t="s">
        <v>372</v>
      </c>
      <c r="C242" s="8" t="s">
        <v>366</v>
      </c>
      <c r="D242" s="8">
        <v>12</v>
      </c>
      <c r="E242" s="16">
        <f>'Gia_Dcu-Tbi-Vlieu'!E12</f>
        <v>15000</v>
      </c>
      <c r="F242" s="52">
        <f t="shared" si="48"/>
        <v>48.07692307692308</v>
      </c>
      <c r="G242" s="485">
        <v>0.11</v>
      </c>
      <c r="H242" s="485"/>
      <c r="I242" s="485"/>
      <c r="J242" s="1229">
        <f t="shared" ref="J242:L243" si="50">$F242*G242</f>
        <v>5.2884615384615392</v>
      </c>
      <c r="K242" s="185">
        <f t="shared" si="50"/>
        <v>0</v>
      </c>
      <c r="L242" s="17">
        <f t="shared" si="50"/>
        <v>0</v>
      </c>
    </row>
    <row r="243" spans="1:13" ht="19.5" customHeight="1">
      <c r="A243" s="41">
        <v>5</v>
      </c>
      <c r="B243" s="42" t="s">
        <v>373</v>
      </c>
      <c r="C243" s="8" t="s">
        <v>366</v>
      </c>
      <c r="D243" s="8">
        <v>12</v>
      </c>
      <c r="E243" s="16">
        <f>'Gia_Dcu-Tbi-Vlieu'!E13</f>
        <v>530000</v>
      </c>
      <c r="F243" s="52">
        <f t="shared" si="48"/>
        <v>1698.7179487179487</v>
      </c>
      <c r="G243" s="485">
        <v>0.04</v>
      </c>
      <c r="H243" s="485"/>
      <c r="I243" s="485"/>
      <c r="J243" s="1229">
        <f t="shared" si="50"/>
        <v>67.948717948717956</v>
      </c>
      <c r="K243" s="185">
        <f t="shared" si="50"/>
        <v>0</v>
      </c>
      <c r="L243" s="17">
        <f t="shared" si="50"/>
        <v>0</v>
      </c>
    </row>
    <row r="244" spans="1:13" ht="19.5" customHeight="1">
      <c r="A244" s="41">
        <v>6</v>
      </c>
      <c r="B244" s="5" t="s">
        <v>480</v>
      </c>
      <c r="C244" s="8" t="s">
        <v>376</v>
      </c>
      <c r="D244" s="8">
        <v>48</v>
      </c>
      <c r="E244" s="16">
        <f>'Gia_Dcu-Tbi-Vlieu'!E16</f>
        <v>430000</v>
      </c>
      <c r="F244" s="52">
        <f>E244/D244/26</f>
        <v>344.5512820512821</v>
      </c>
      <c r="G244" s="485">
        <v>0.08</v>
      </c>
      <c r="H244" s="485"/>
      <c r="I244" s="485"/>
      <c r="J244" s="1229">
        <f t="shared" ref="J244:L248" si="51">$F244*G244</f>
        <v>27.564102564102569</v>
      </c>
      <c r="K244" s="185">
        <f t="shared" si="51"/>
        <v>0</v>
      </c>
      <c r="L244" s="17">
        <f t="shared" si="51"/>
        <v>0</v>
      </c>
    </row>
    <row r="245" spans="1:13" ht="19.5" customHeight="1">
      <c r="A245" s="41">
        <v>7</v>
      </c>
      <c r="B245" s="5" t="s">
        <v>481</v>
      </c>
      <c r="C245" s="8" t="s">
        <v>366</v>
      </c>
      <c r="D245" s="8">
        <v>24</v>
      </c>
      <c r="E245" s="16">
        <f>'Gia_Dcu-Tbi-Vlieu'!E17</f>
        <v>116363.63636363635</v>
      </c>
      <c r="F245" s="52">
        <f t="shared" si="48"/>
        <v>186.48018648018646</v>
      </c>
      <c r="G245" s="485">
        <v>0.08</v>
      </c>
      <c r="H245" s="485"/>
      <c r="I245" s="485"/>
      <c r="J245" s="1229">
        <f t="shared" si="51"/>
        <v>14.918414918414918</v>
      </c>
      <c r="K245" s="185">
        <f t="shared" si="51"/>
        <v>0</v>
      </c>
      <c r="L245" s="17">
        <f t="shared" si="51"/>
        <v>0</v>
      </c>
    </row>
    <row r="246" spans="1:13" ht="19.5" customHeight="1">
      <c r="A246" s="41">
        <v>8</v>
      </c>
      <c r="B246" s="42" t="s">
        <v>378</v>
      </c>
      <c r="C246" s="8" t="s">
        <v>366</v>
      </c>
      <c r="D246" s="8">
        <v>36</v>
      </c>
      <c r="E246" s="16">
        <f>'Gia_Dcu-Tbi-Vlieu'!E19</f>
        <v>795000</v>
      </c>
      <c r="F246" s="52">
        <f t="shared" si="48"/>
        <v>849.35897435897436</v>
      </c>
      <c r="G246" s="485">
        <v>0.06</v>
      </c>
      <c r="H246" s="485"/>
      <c r="I246" s="485"/>
      <c r="J246" s="1229">
        <f t="shared" si="51"/>
        <v>50.96153846153846</v>
      </c>
      <c r="K246" s="185">
        <f t="shared" si="51"/>
        <v>0</v>
      </c>
      <c r="L246" s="17">
        <f t="shared" si="51"/>
        <v>0</v>
      </c>
    </row>
    <row r="247" spans="1:13" ht="19.5" customHeight="1">
      <c r="A247" s="41">
        <v>9</v>
      </c>
      <c r="B247" s="42" t="s">
        <v>379</v>
      </c>
      <c r="C247" s="8" t="s">
        <v>380</v>
      </c>
      <c r="D247" s="8">
        <v>30</v>
      </c>
      <c r="E247" s="16">
        <f>'Gia_Dcu-Tbi-Vlieu'!E20</f>
        <v>212000</v>
      </c>
      <c r="F247" s="52">
        <f t="shared" si="48"/>
        <v>271.79487179487182</v>
      </c>
      <c r="G247" s="485">
        <v>0.32</v>
      </c>
      <c r="H247" s="485"/>
      <c r="I247" s="485"/>
      <c r="J247" s="1229">
        <f t="shared" si="51"/>
        <v>86.974358974358992</v>
      </c>
      <c r="K247" s="185">
        <f t="shared" si="51"/>
        <v>0</v>
      </c>
      <c r="L247" s="17">
        <f t="shared" si="51"/>
        <v>0</v>
      </c>
    </row>
    <row r="248" spans="1:13" ht="19.5" customHeight="1">
      <c r="A248" s="41">
        <v>10</v>
      </c>
      <c r="B248" s="1159" t="s">
        <v>18</v>
      </c>
      <c r="C248" s="48" t="s">
        <v>381</v>
      </c>
      <c r="D248" s="1160">
        <v>1</v>
      </c>
      <c r="E248" s="49">
        <f>'Gia_Dcu-Tbi-Vlieu'!E21</f>
        <v>2204.0655000000002</v>
      </c>
      <c r="F248" s="1161">
        <f>D248*E248</f>
        <v>2204.0655000000002</v>
      </c>
      <c r="G248" s="1162">
        <v>0.15</v>
      </c>
      <c r="H248" s="1162"/>
      <c r="I248" s="1162"/>
      <c r="J248" s="1230">
        <f t="shared" si="51"/>
        <v>330.609825</v>
      </c>
      <c r="K248" s="1163">
        <f t="shared" si="51"/>
        <v>0</v>
      </c>
      <c r="L248" s="45">
        <f t="shared" si="51"/>
        <v>0</v>
      </c>
    </row>
    <row r="249" spans="1:13" s="15" customFormat="1" ht="31.5" customHeight="1">
      <c r="A249" s="411"/>
      <c r="B249" s="412" t="s">
        <v>764</v>
      </c>
      <c r="C249" s="413"/>
      <c r="D249" s="414"/>
      <c r="E249" s="415"/>
      <c r="F249" s="416"/>
      <c r="G249" s="487"/>
      <c r="H249" s="487"/>
      <c r="I249" s="488">
        <v>1</v>
      </c>
      <c r="J249" s="417">
        <f>SUM(J239:J247)*$I249+J248</f>
        <v>976.95772709790219</v>
      </c>
      <c r="K249" s="417">
        <f>SUM(K239:K247)*$I249</f>
        <v>0</v>
      </c>
      <c r="L249" s="418">
        <f>SUM(L239:L247)*$I249</f>
        <v>0</v>
      </c>
    </row>
    <row r="250" spans="1:13" ht="19.5" customHeight="1">
      <c r="A250" s="41"/>
      <c r="B250" s="209" t="s">
        <v>332</v>
      </c>
      <c r="C250" s="196"/>
      <c r="D250" s="195"/>
      <c r="E250" s="195"/>
      <c r="F250" s="210"/>
      <c r="G250" s="9"/>
      <c r="H250" s="195"/>
      <c r="I250" s="490"/>
      <c r="J250" s="490"/>
      <c r="K250" s="490"/>
      <c r="L250" s="189"/>
      <c r="M250" s="40"/>
    </row>
    <row r="251" spans="1:13" ht="19.5" customHeight="1">
      <c r="A251" s="41"/>
      <c r="B251" s="1477" t="s">
        <v>333</v>
      </c>
      <c r="C251" s="1478"/>
      <c r="D251" s="1478"/>
      <c r="E251" s="1478"/>
      <c r="F251" s="1536"/>
      <c r="G251" s="490"/>
      <c r="H251" s="490"/>
      <c r="I251" s="490"/>
      <c r="J251" s="9"/>
      <c r="K251" s="9"/>
      <c r="L251" s="189"/>
    </row>
    <row r="252" spans="1:13" ht="19.5" customHeight="1">
      <c r="A252" s="41"/>
      <c r="B252" s="1477" t="s">
        <v>482</v>
      </c>
      <c r="C252" s="1478"/>
      <c r="D252" s="1478"/>
      <c r="E252" s="1478"/>
      <c r="F252" s="1536"/>
      <c r="G252" s="490">
        <v>0.8</v>
      </c>
      <c r="H252" s="490"/>
      <c r="I252" s="490"/>
      <c r="J252" s="9">
        <f>G252*J$249</f>
        <v>781.56618167832175</v>
      </c>
      <c r="K252" s="9"/>
      <c r="L252" s="189"/>
    </row>
    <row r="253" spans="1:13" ht="19.5" customHeight="1">
      <c r="A253" s="41"/>
      <c r="B253" s="1477" t="s">
        <v>483</v>
      </c>
      <c r="C253" s="1478"/>
      <c r="D253" s="1478"/>
      <c r="E253" s="1478"/>
      <c r="F253" s="1536"/>
      <c r="G253" s="490">
        <v>0.65</v>
      </c>
      <c r="H253" s="490"/>
      <c r="I253" s="490"/>
      <c r="J253" s="9">
        <f>G253*J$249</f>
        <v>635.0225226136364</v>
      </c>
      <c r="K253" s="9"/>
      <c r="L253" s="189"/>
    </row>
    <row r="254" spans="1:13" ht="19.5" customHeight="1" thickBot="1">
      <c r="A254" s="197"/>
      <c r="B254" s="1533" t="s">
        <v>484</v>
      </c>
      <c r="C254" s="1534"/>
      <c r="D254" s="1534"/>
      <c r="E254" s="1534"/>
      <c r="F254" s="1535"/>
      <c r="G254" s="501">
        <v>0.5</v>
      </c>
      <c r="H254" s="501"/>
      <c r="I254" s="501"/>
      <c r="J254" s="211">
        <f>G254*J$249</f>
        <v>488.4788635489511</v>
      </c>
      <c r="K254" s="211"/>
      <c r="L254" s="212"/>
    </row>
  </sheetData>
  <mergeCells count="137">
    <mergeCell ref="D198:D199"/>
    <mergeCell ref="E198:E199"/>
    <mergeCell ref="I199:J199"/>
    <mergeCell ref="J2:K2"/>
    <mergeCell ref="G199:H199"/>
    <mergeCell ref="G74:H74"/>
    <mergeCell ref="A1:L1"/>
    <mergeCell ref="G73:J73"/>
    <mergeCell ref="K198:N198"/>
    <mergeCell ref="G198:J198"/>
    <mergeCell ref="K199:L199"/>
    <mergeCell ref="M199:N199"/>
    <mergeCell ref="A198:A199"/>
    <mergeCell ref="B132:I132"/>
    <mergeCell ref="B177:F177"/>
    <mergeCell ref="B178:F178"/>
    <mergeCell ref="B196:F196"/>
    <mergeCell ref="B181:I181"/>
    <mergeCell ref="B5:I5"/>
    <mergeCell ref="B42:I42"/>
    <mergeCell ref="B76:I76"/>
    <mergeCell ref="B92:I92"/>
    <mergeCell ref="B108:I108"/>
    <mergeCell ref="B126:F126"/>
    <mergeCell ref="B254:F254"/>
    <mergeCell ref="B215:F215"/>
    <mergeCell ref="B238:I238"/>
    <mergeCell ref="B220:I220"/>
    <mergeCell ref="B231:F231"/>
    <mergeCell ref="B232:F232"/>
    <mergeCell ref="B233:F233"/>
    <mergeCell ref="G218:I218"/>
    <mergeCell ref="B251:F251"/>
    <mergeCell ref="F218:F219"/>
    <mergeCell ref="B252:F252"/>
    <mergeCell ref="G236:I237"/>
    <mergeCell ref="B253:F253"/>
    <mergeCell ref="B127:F127"/>
    <mergeCell ref="E73:E75"/>
    <mergeCell ref="F73:F75"/>
    <mergeCell ref="B104:F104"/>
    <mergeCell ref="B88:F88"/>
    <mergeCell ref="B163:I163"/>
    <mergeCell ref="B156:F156"/>
    <mergeCell ref="B157:F157"/>
    <mergeCell ref="B158:F158"/>
    <mergeCell ref="B159:F159"/>
    <mergeCell ref="B160:F160"/>
    <mergeCell ref="G126:I126"/>
    <mergeCell ref="G3:I3"/>
    <mergeCell ref="J3:L3"/>
    <mergeCell ref="D3:D4"/>
    <mergeCell ref="E3:E4"/>
    <mergeCell ref="F3:F4"/>
    <mergeCell ref="A3:A4"/>
    <mergeCell ref="B3:B4"/>
    <mergeCell ref="C3:C4"/>
    <mergeCell ref="A73:A75"/>
    <mergeCell ref="B23:E25"/>
    <mergeCell ref="B26:E26"/>
    <mergeCell ref="B70:F70"/>
    <mergeCell ref="B31:E33"/>
    <mergeCell ref="B66:F66"/>
    <mergeCell ref="B67:F67"/>
    <mergeCell ref="B68:F68"/>
    <mergeCell ref="B34:E36"/>
    <mergeCell ref="B37:E39"/>
    <mergeCell ref="B40:E40"/>
    <mergeCell ref="K74:L74"/>
    <mergeCell ref="B30:E30"/>
    <mergeCell ref="B71:F71"/>
    <mergeCell ref="B69:F69"/>
    <mergeCell ref="B27:E29"/>
    <mergeCell ref="M74:N74"/>
    <mergeCell ref="B73:B75"/>
    <mergeCell ref="C73:C75"/>
    <mergeCell ref="D73:D75"/>
    <mergeCell ref="I74:J74"/>
    <mergeCell ref="K73:L73"/>
    <mergeCell ref="K75:L75"/>
    <mergeCell ref="A90:A91"/>
    <mergeCell ref="B90:B91"/>
    <mergeCell ref="C90:C91"/>
    <mergeCell ref="D90:D91"/>
    <mergeCell ref="E90:E91"/>
    <mergeCell ref="F90:F91"/>
    <mergeCell ref="G90:I90"/>
    <mergeCell ref="J90:L90"/>
    <mergeCell ref="B89:F89"/>
    <mergeCell ref="A106:A107"/>
    <mergeCell ref="B106:B107"/>
    <mergeCell ref="C106:C107"/>
    <mergeCell ref="D106:D107"/>
    <mergeCell ref="J179:L179"/>
    <mergeCell ref="C86:H86"/>
    <mergeCell ref="B103:F103"/>
    <mergeCell ref="B128:F128"/>
    <mergeCell ref="B129:F129"/>
    <mergeCell ref="B130:F130"/>
    <mergeCell ref="F161:F162"/>
    <mergeCell ref="G161:I161"/>
    <mergeCell ref="J161:L161"/>
    <mergeCell ref="A179:A180"/>
    <mergeCell ref="B179:B180"/>
    <mergeCell ref="C179:C180"/>
    <mergeCell ref="D179:D180"/>
    <mergeCell ref="E179:E180"/>
    <mergeCell ref="F179:F180"/>
    <mergeCell ref="G179:I179"/>
    <mergeCell ref="E106:E107"/>
    <mergeCell ref="F106:F107"/>
    <mergeCell ref="G106:I106"/>
    <mergeCell ref="J106:L106"/>
    <mergeCell ref="A236:A237"/>
    <mergeCell ref="B236:B237"/>
    <mergeCell ref="C236:C237"/>
    <mergeCell ref="D236:D237"/>
    <mergeCell ref="E236:E237"/>
    <mergeCell ref="F236:F237"/>
    <mergeCell ref="A161:A162"/>
    <mergeCell ref="B161:B162"/>
    <mergeCell ref="C161:C162"/>
    <mergeCell ref="D161:D162"/>
    <mergeCell ref="E161:E162"/>
    <mergeCell ref="A218:A219"/>
    <mergeCell ref="B218:B219"/>
    <mergeCell ref="C218:C219"/>
    <mergeCell ref="D218:D219"/>
    <mergeCell ref="E218:E219"/>
    <mergeCell ref="B213:F213"/>
    <mergeCell ref="F198:F199"/>
    <mergeCell ref="B214:F214"/>
    <mergeCell ref="B200:J200"/>
    <mergeCell ref="J218:L218"/>
    <mergeCell ref="J236:L237"/>
    <mergeCell ref="B198:B199"/>
    <mergeCell ref="C198:C199"/>
  </mergeCells>
  <phoneticPr fontId="4" type="noConversion"/>
  <printOptions horizontalCentered="1"/>
  <pageMargins left="0.39370078740157483" right="0.19685039370078741" top="0.39370078740157483" bottom="0.47244094488188981" header="0.19685039370078741" footer="0.19685039370078741"/>
  <pageSetup paperSize="9" scale="86" firstPageNumber="90" pageOrder="overThenDown" orientation="landscape" useFirstPageNumber="1" r:id="rId1"/>
  <headerFooter alignWithMargins="0">
    <oddFooter>&amp;C&amp;P</oddFooter>
  </headerFooter>
  <rowBreaks count="1" manualBreakCount="1">
    <brk id="25" max="11" man="1"/>
  </rowBreaks>
  <ignoredErrors>
    <ignoredError sqref="K26"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rgb="FF00B050"/>
  </sheetPr>
  <dimension ref="A1:I173"/>
  <sheetViews>
    <sheetView showZeros="0" zoomScale="85" zoomScaleNormal="85" workbookViewId="0">
      <pane ySplit="3" topLeftCell="A132" activePane="bottomLeft" state="frozen"/>
      <selection activeCell="M194" sqref="M194"/>
      <selection pane="bottomLeft" activeCell="E146" sqref="A1:XFD1048576"/>
    </sheetView>
  </sheetViews>
  <sheetFormatPr defaultColWidth="9" defaultRowHeight="15.75"/>
  <cols>
    <col min="1" max="1" width="8" style="72" customWidth="1"/>
    <col min="2" max="2" width="51.88671875" style="63" customWidth="1"/>
    <col min="3" max="3" width="10.44140625" style="72" customWidth="1"/>
    <col min="4" max="4" width="9.88671875" style="72" customWidth="1"/>
    <col min="5" max="5" width="10.44140625" style="63" customWidth="1"/>
    <col min="6" max="6" width="15.33203125" style="63" customWidth="1"/>
    <col min="7" max="7" width="11.77734375" style="73" customWidth="1"/>
    <col min="8" max="8" width="11.109375" style="76" customWidth="1"/>
    <col min="9" max="9" width="16" style="75" customWidth="1"/>
    <col min="10" max="10" width="5.77734375" style="63" customWidth="1"/>
    <col min="11" max="11" width="22.88671875" style="63" customWidth="1"/>
    <col min="12" max="16384" width="9" style="63"/>
  </cols>
  <sheetData>
    <row r="1" spans="1:9" ht="27" customHeight="1">
      <c r="A1" s="1398" t="s">
        <v>565</v>
      </c>
      <c r="B1" s="1398"/>
      <c r="C1" s="1398"/>
      <c r="D1" s="1398"/>
      <c r="E1" s="1398"/>
      <c r="F1" s="1398"/>
      <c r="G1" s="1398"/>
      <c r="H1" s="1398"/>
      <c r="I1" s="1398"/>
    </row>
    <row r="2" spans="1:9" ht="16.5" thickBot="1">
      <c r="H2" s="76" t="s">
        <v>113</v>
      </c>
      <c r="I2" s="74" t="s">
        <v>116</v>
      </c>
    </row>
    <row r="3" spans="1:9" s="6" customFormat="1" ht="47.25">
      <c r="A3" s="20" t="s">
        <v>24</v>
      </c>
      <c r="B3" s="21" t="s">
        <v>30</v>
      </c>
      <c r="C3" s="21" t="s">
        <v>39</v>
      </c>
      <c r="D3" s="21" t="s">
        <v>4</v>
      </c>
      <c r="E3" s="21" t="s">
        <v>5</v>
      </c>
      <c r="F3" s="21" t="s">
        <v>31</v>
      </c>
      <c r="G3" s="53" t="s">
        <v>0</v>
      </c>
      <c r="H3" s="77" t="s">
        <v>443</v>
      </c>
      <c r="I3" s="22" t="s">
        <v>36</v>
      </c>
    </row>
    <row r="4" spans="1:9" s="12" customFormat="1" ht="58.5" customHeight="1">
      <c r="A4" s="237" t="str">
        <f>L_CViec!A10</f>
        <v>I</v>
      </c>
      <c r="B4" s="1553" t="str">
        <f>L_CViec!B10</f>
        <v>ĐĂNG KÝ, CẤP GIẤY CHỨNG NHẬN LẦN ĐẦU ĐỒNG LOẠT ĐỐI VỚI HỘ GIA ĐÌNH, CÁ NHÂN, CỘNG ĐỒNG DÂN CƯ, TỔ CHỨC SỬ DỤNG ĐẤT, NGƯỜI GỐC VIỆT NAM ĐỊNH CƯ Ở NƯỚC NGOÀI TẠI ĐỊA BÀN CẤP XÃ, PHƯỜNG</v>
      </c>
      <c r="C4" s="1554"/>
      <c r="D4" s="1554"/>
      <c r="E4" s="315"/>
      <c r="F4" s="315"/>
      <c r="G4" s="202"/>
      <c r="H4" s="225"/>
      <c r="I4" s="316" t="s">
        <v>769</v>
      </c>
    </row>
    <row r="5" spans="1:9" s="1198" customFormat="1">
      <c r="A5" s="1190">
        <v>1</v>
      </c>
      <c r="B5" s="1191" t="s">
        <v>752</v>
      </c>
      <c r="C5" s="1192"/>
      <c r="D5" s="1192"/>
      <c r="E5" s="1193"/>
      <c r="F5" s="1194"/>
      <c r="G5" s="1195"/>
      <c r="H5" s="1196"/>
      <c r="I5" s="1197">
        <f>SUM(I6:I11)</f>
        <v>6693.6062000000002</v>
      </c>
    </row>
    <row r="6" spans="1:9" s="1205" customFormat="1">
      <c r="A6" s="1199"/>
      <c r="B6" s="1200" t="s">
        <v>410</v>
      </c>
      <c r="C6" s="1201" t="s">
        <v>366</v>
      </c>
      <c r="D6" s="1201">
        <v>0.4</v>
      </c>
      <c r="E6" s="1201">
        <f>'Gia_Dcu-Tbi-Vlieu'!E$26</f>
        <v>5</v>
      </c>
      <c r="F6" s="1202">
        <f>'Gia_Dcu-Tbi-Vlieu'!F$26</f>
        <v>33480000</v>
      </c>
      <c r="G6" s="1203">
        <f>'Gia_Dcu-Tbi-Vlieu'!G$26</f>
        <v>13392</v>
      </c>
      <c r="H6" s="1204">
        <v>0.313</v>
      </c>
      <c r="I6" s="1216">
        <f t="shared" ref="I6:I20" si="0">G6*H6</f>
        <v>4191.6959999999999</v>
      </c>
    </row>
    <row r="7" spans="1:9" s="1205" customFormat="1">
      <c r="A7" s="1206"/>
      <c r="B7" s="1200" t="s">
        <v>383</v>
      </c>
      <c r="C7" s="1201" t="s">
        <v>366</v>
      </c>
      <c r="D7" s="1201">
        <v>0.6</v>
      </c>
      <c r="E7" s="1201">
        <f>'Gia_Dcu-Tbi-Vlieu'!E$27</f>
        <v>10</v>
      </c>
      <c r="F7" s="1202">
        <f>'Gia_Dcu-Tbi-Vlieu'!F$27</f>
        <v>9150000</v>
      </c>
      <c r="G7" s="1203">
        <f>'Gia_Dcu-Tbi-Vlieu'!G$27</f>
        <v>1830</v>
      </c>
      <c r="H7" s="1204">
        <v>3.3000000000000002E-2</v>
      </c>
      <c r="I7" s="1216">
        <f t="shared" si="0"/>
        <v>60.39</v>
      </c>
    </row>
    <row r="8" spans="1:9" s="1205" customFormat="1">
      <c r="A8" s="1206"/>
      <c r="B8" s="1200" t="s">
        <v>385</v>
      </c>
      <c r="C8" s="1201" t="s">
        <v>366</v>
      </c>
      <c r="D8" s="1201">
        <v>0.6</v>
      </c>
      <c r="E8" s="1201">
        <f>'Gia_Dcu-Tbi-Vlieu'!E$28</f>
        <v>10</v>
      </c>
      <c r="F8" s="1202">
        <f>'Gia_Dcu-Tbi-Vlieu'!F$28</f>
        <v>25499000</v>
      </c>
      <c r="G8" s="1203">
        <f>'Gia_Dcu-Tbi-Vlieu'!G$28</f>
        <v>5099.8</v>
      </c>
      <c r="H8" s="1204">
        <v>0.04</v>
      </c>
      <c r="I8" s="1216">
        <f t="shared" si="0"/>
        <v>203.99200000000002</v>
      </c>
    </row>
    <row r="9" spans="1:9" s="1205" customFormat="1">
      <c r="A9" s="1206"/>
      <c r="B9" s="1200" t="s">
        <v>386</v>
      </c>
      <c r="C9" s="1201" t="s">
        <v>366</v>
      </c>
      <c r="D9" s="1201">
        <v>0.6</v>
      </c>
      <c r="E9" s="1201">
        <f>'Gia_Dcu-Tbi-Vlieu'!E$29</f>
        <v>10</v>
      </c>
      <c r="F9" s="1202">
        <f>'Gia_Dcu-Tbi-Vlieu'!F$30</f>
        <v>25499000</v>
      </c>
      <c r="G9" s="1203">
        <f>'Gia_Dcu-Tbi-Vlieu'!G$29</f>
        <v>34737.4</v>
      </c>
      <c r="H9" s="1204">
        <v>0.04</v>
      </c>
      <c r="I9" s="1216">
        <f t="shared" si="0"/>
        <v>1389.4960000000001</v>
      </c>
    </row>
    <row r="10" spans="1:9" s="1207" customFormat="1">
      <c r="A10" s="1206"/>
      <c r="B10" s="1200" t="s">
        <v>411</v>
      </c>
      <c r="C10" s="1201" t="s">
        <v>366</v>
      </c>
      <c r="D10" s="1201">
        <v>2.2000000000000002</v>
      </c>
      <c r="E10" s="1201">
        <f>'Gia_Dcu-Tbi-Vlieu'!E$30</f>
        <v>10</v>
      </c>
      <c r="F10" s="1202">
        <f>'Gia_Dcu-Tbi-Vlieu'!F$31</f>
        <v>14200000</v>
      </c>
      <c r="G10" s="1203">
        <f>'Gia_Dcu-Tbi-Vlieu'!G$30</f>
        <v>5099.8</v>
      </c>
      <c r="H10" s="1204">
        <v>0.13900000000000001</v>
      </c>
      <c r="I10" s="1216">
        <f t="shared" si="0"/>
        <v>708.87220000000013</v>
      </c>
    </row>
    <row r="11" spans="1:9" s="1198" customFormat="1">
      <c r="A11" s="1206"/>
      <c r="B11" s="1200" t="s">
        <v>44</v>
      </c>
      <c r="C11" s="1201" t="s">
        <v>366</v>
      </c>
      <c r="D11" s="1201">
        <v>1.5</v>
      </c>
      <c r="E11" s="1201">
        <f>'Gia_Dcu-Tbi-Vlieu'!E$31</f>
        <v>10</v>
      </c>
      <c r="F11" s="1202">
        <f>'Gia_Dcu-Tbi-Vlieu'!F$32</f>
        <v>39400000</v>
      </c>
      <c r="G11" s="1203">
        <f>'Gia_Dcu-Tbi-Vlieu'!G$31</f>
        <v>2840</v>
      </c>
      <c r="H11" s="1204">
        <v>4.9000000000000002E-2</v>
      </c>
      <c r="I11" s="1216">
        <f t="shared" si="0"/>
        <v>139.16</v>
      </c>
    </row>
    <row r="12" spans="1:9" s="1198" customFormat="1">
      <c r="A12" s="1208"/>
      <c r="B12" s="1209" t="s">
        <v>18</v>
      </c>
      <c r="C12" s="1210" t="s">
        <v>381</v>
      </c>
      <c r="D12" s="1210"/>
      <c r="E12" s="1211">
        <f>'Gia_Dcu-Tbi-Vlieu'!E$35</f>
        <v>1</v>
      </c>
      <c r="F12" s="1194">
        <f>'Gia_Dcu-Tbi-Vlieu'!F$35</f>
        <v>2204.0655000000002</v>
      </c>
      <c r="G12" s="1195">
        <f>'Gia_Dcu-Tbi-Vlieu'!G$35</f>
        <v>2204.0655000000002</v>
      </c>
      <c r="H12" s="1196">
        <v>4.5750000000000002</v>
      </c>
      <c r="I12" s="1217">
        <f t="shared" si="0"/>
        <v>10083.599662500001</v>
      </c>
    </row>
    <row r="13" spans="1:9" s="1198" customFormat="1">
      <c r="A13" s="1190">
        <v>2</v>
      </c>
      <c r="B13" s="1191" t="s">
        <v>364</v>
      </c>
      <c r="C13" s="1192"/>
      <c r="D13" s="1192"/>
      <c r="E13" s="1193"/>
      <c r="F13" s="1194"/>
      <c r="G13" s="1195"/>
      <c r="H13" s="1196"/>
      <c r="I13" s="1217">
        <f>SUM(I14:I19)</f>
        <v>2372.5455999999995</v>
      </c>
    </row>
    <row r="14" spans="1:9" s="1205" customFormat="1">
      <c r="A14" s="1199"/>
      <c r="B14" s="1200" t="s">
        <v>410</v>
      </c>
      <c r="C14" s="1201" t="s">
        <v>366</v>
      </c>
      <c r="D14" s="1201">
        <v>0.4</v>
      </c>
      <c r="E14" s="1201">
        <f>'Gia_Dcu-Tbi-Vlieu'!E$26</f>
        <v>5</v>
      </c>
      <c r="F14" s="1202">
        <f>'Gia_Dcu-Tbi-Vlieu'!F$26</f>
        <v>33480000</v>
      </c>
      <c r="G14" s="1203">
        <f>'Gia_Dcu-Tbi-Vlieu'!G$26</f>
        <v>13392</v>
      </c>
      <c r="H14" s="1204">
        <v>0.14099999999999999</v>
      </c>
      <c r="I14" s="1216">
        <f t="shared" si="0"/>
        <v>1888.2719999999997</v>
      </c>
    </row>
    <row r="15" spans="1:9" s="1205" customFormat="1">
      <c r="A15" s="1206"/>
      <c r="B15" s="1200" t="s">
        <v>383</v>
      </c>
      <c r="C15" s="1201" t="s">
        <v>366</v>
      </c>
      <c r="D15" s="1201">
        <v>0.6</v>
      </c>
      <c r="E15" s="1201">
        <f>'Gia_Dcu-Tbi-Vlieu'!E$27</f>
        <v>10</v>
      </c>
      <c r="F15" s="1202">
        <f>'Gia_Dcu-Tbi-Vlieu'!F$27</f>
        <v>9150000</v>
      </c>
      <c r="G15" s="1203">
        <f>'Gia_Dcu-Tbi-Vlieu'!G$27</f>
        <v>1830</v>
      </c>
      <c r="H15" s="1204">
        <v>3.0000000000000001E-3</v>
      </c>
      <c r="I15" s="1216">
        <f t="shared" si="0"/>
        <v>5.49</v>
      </c>
    </row>
    <row r="16" spans="1:9" s="1205" customFormat="1">
      <c r="A16" s="1206"/>
      <c r="B16" s="1200" t="s">
        <v>385</v>
      </c>
      <c r="C16" s="1201" t="s">
        <v>366</v>
      </c>
      <c r="D16" s="1201">
        <v>0.6</v>
      </c>
      <c r="E16" s="1201">
        <f>'Gia_Dcu-Tbi-Vlieu'!E$28</f>
        <v>10</v>
      </c>
      <c r="F16" s="1202">
        <f>'Gia_Dcu-Tbi-Vlieu'!F$28</f>
        <v>25499000</v>
      </c>
      <c r="G16" s="1203">
        <f>'Gia_Dcu-Tbi-Vlieu'!G$28</f>
        <v>5099.8</v>
      </c>
      <c r="H16" s="1204">
        <v>1.7999999999999999E-2</v>
      </c>
      <c r="I16" s="1216">
        <f t="shared" si="0"/>
        <v>91.796399999999991</v>
      </c>
    </row>
    <row r="17" spans="1:9" s="1205" customFormat="1">
      <c r="A17" s="1206"/>
      <c r="B17" s="1200" t="s">
        <v>411</v>
      </c>
      <c r="C17" s="1201" t="s">
        <v>366</v>
      </c>
      <c r="D17" s="1201">
        <v>2.2000000000000002</v>
      </c>
      <c r="E17" s="1201">
        <f>'Gia_Dcu-Tbi-Vlieu'!E$30</f>
        <v>10</v>
      </c>
      <c r="F17" s="1202">
        <f>'Gia_Dcu-Tbi-Vlieu'!F$31</f>
        <v>14200000</v>
      </c>
      <c r="G17" s="1203">
        <f>'Gia_Dcu-Tbi-Vlieu'!G$30</f>
        <v>5099.8</v>
      </c>
      <c r="H17" s="1204">
        <v>6.4000000000000001E-2</v>
      </c>
      <c r="I17" s="1216">
        <f t="shared" si="0"/>
        <v>326.38720000000001</v>
      </c>
    </row>
    <row r="18" spans="1:9" s="1205" customFormat="1">
      <c r="A18" s="1206"/>
      <c r="B18" s="1200" t="s">
        <v>44</v>
      </c>
      <c r="C18" s="1201" t="s">
        <v>366</v>
      </c>
      <c r="D18" s="1201">
        <v>1.5</v>
      </c>
      <c r="E18" s="1201">
        <f>'Gia_Dcu-Tbi-Vlieu'!E$31</f>
        <v>10</v>
      </c>
      <c r="F18" s="1202">
        <f>'Gia_Dcu-Tbi-Vlieu'!F$32</f>
        <v>39400000</v>
      </c>
      <c r="G18" s="1203">
        <f>'Gia_Dcu-Tbi-Vlieu'!G$31</f>
        <v>2840</v>
      </c>
      <c r="H18" s="1204">
        <v>6.0000000000000001E-3</v>
      </c>
      <c r="I18" s="1216">
        <f t="shared" si="0"/>
        <v>17.04</v>
      </c>
    </row>
    <row r="19" spans="1:9" s="1205" customFormat="1">
      <c r="A19" s="1206"/>
      <c r="B19" s="1200" t="s">
        <v>412</v>
      </c>
      <c r="C19" s="1201" t="s">
        <v>366</v>
      </c>
      <c r="D19" s="1201">
        <v>0.4</v>
      </c>
      <c r="E19" s="1201">
        <f>'Gia_Dcu-Tbi-Vlieu'!E$34</f>
        <v>10</v>
      </c>
      <c r="F19" s="1202">
        <f>'Gia_Dcu-Tbi-Vlieu'!F$34</f>
        <v>108900000.00000001</v>
      </c>
      <c r="G19" s="1203">
        <f>'Gia_Dcu-Tbi-Vlieu'!G$34</f>
        <v>21780.000000000004</v>
      </c>
      <c r="H19" s="1204">
        <v>2E-3</v>
      </c>
      <c r="I19" s="1216">
        <f t="shared" si="0"/>
        <v>43.560000000000009</v>
      </c>
    </row>
    <row r="20" spans="1:9" s="59" customFormat="1" ht="22.5" customHeight="1">
      <c r="A20" s="259"/>
      <c r="B20" s="260" t="s">
        <v>18</v>
      </c>
      <c r="C20" s="261" t="s">
        <v>381</v>
      </c>
      <c r="D20" s="261"/>
      <c r="E20" s="262">
        <f>'Gia_Dcu-Tbi-Vlieu'!E$35</f>
        <v>1</v>
      </c>
      <c r="F20" s="263">
        <f>'Gia_Dcu-Tbi-Vlieu'!F$35</f>
        <v>2204.0655000000002</v>
      </c>
      <c r="G20" s="264">
        <f>'Gia_Dcu-Tbi-Vlieu'!G$35</f>
        <v>2204.0655000000002</v>
      </c>
      <c r="H20" s="504">
        <v>1.758</v>
      </c>
      <c r="I20" s="1218">
        <f t="shared" si="0"/>
        <v>3874.7471490000003</v>
      </c>
    </row>
    <row r="21" spans="1:9">
      <c r="A21" s="245"/>
      <c r="B21" s="44" t="s">
        <v>332</v>
      </c>
      <c r="C21" s="19"/>
      <c r="D21" s="19"/>
      <c r="E21" s="19"/>
      <c r="F21" s="70"/>
      <c r="G21" s="71"/>
      <c r="H21" s="505"/>
      <c r="I21" s="203"/>
    </row>
    <row r="22" spans="1:9" s="1213" customFormat="1" ht="33" customHeight="1">
      <c r="A22" s="1212"/>
      <c r="B22" s="1557" t="s">
        <v>770</v>
      </c>
      <c r="C22" s="1558"/>
      <c r="D22" s="1558"/>
      <c r="E22" s="1558"/>
      <c r="F22" s="1555" t="s">
        <v>980</v>
      </c>
      <c r="G22" s="1556"/>
      <c r="H22" s="1188">
        <v>1.6</v>
      </c>
      <c r="I22" s="1189">
        <f>H22*I5</f>
        <v>10709.769920000001</v>
      </c>
    </row>
    <row r="23" spans="1:9" s="1213" customFormat="1" ht="28.15" hidden="1" customHeight="1">
      <c r="A23" s="1212"/>
      <c r="B23" s="1559"/>
      <c r="C23" s="1560"/>
      <c r="D23" s="1560"/>
      <c r="E23" s="1560"/>
      <c r="F23" s="1555"/>
      <c r="G23" s="1556"/>
      <c r="H23" s="1188"/>
      <c r="I23" s="1189">
        <f>H23*I$5</f>
        <v>0</v>
      </c>
    </row>
    <row r="24" spans="1:9" s="1213" customFormat="1" ht="37.5" customHeight="1">
      <c r="A24" s="1212"/>
      <c r="B24" s="1561"/>
      <c r="C24" s="1562"/>
      <c r="D24" s="1562"/>
      <c r="E24" s="1562"/>
      <c r="F24" s="1555" t="s">
        <v>364</v>
      </c>
      <c r="G24" s="1556"/>
      <c r="H24" s="1188">
        <v>1.6</v>
      </c>
      <c r="I24" s="1189">
        <f>H24*I$13</f>
        <v>3796.0729599999995</v>
      </c>
    </row>
    <row r="25" spans="1:9" s="1213" customFormat="1" ht="22.15" customHeight="1">
      <c r="A25" s="1212"/>
      <c r="B25" s="1557" t="s">
        <v>981</v>
      </c>
      <c r="C25" s="1558"/>
      <c r="D25" s="1558"/>
      <c r="E25" s="1558"/>
      <c r="F25" s="1555" t="s">
        <v>980</v>
      </c>
      <c r="G25" s="1556"/>
      <c r="H25" s="1188"/>
      <c r="I25" s="1189">
        <f>I5</f>
        <v>6693.6062000000002</v>
      </c>
    </row>
    <row r="26" spans="1:9" s="1213" customFormat="1" ht="22.15" hidden="1" customHeight="1">
      <c r="A26" s="1212"/>
      <c r="B26" s="1559"/>
      <c r="C26" s="1560"/>
      <c r="D26" s="1560"/>
      <c r="E26" s="1560"/>
      <c r="F26" s="1555"/>
      <c r="G26" s="1556"/>
      <c r="H26" s="1188"/>
      <c r="I26" s="1189">
        <f>H26*I$5</f>
        <v>0</v>
      </c>
    </row>
    <row r="27" spans="1:9" s="1213" customFormat="1" ht="22.15" customHeight="1">
      <c r="A27" s="1212"/>
      <c r="B27" s="1561"/>
      <c r="C27" s="1562"/>
      <c r="D27" s="1562"/>
      <c r="E27" s="1562"/>
      <c r="F27" s="1555" t="s">
        <v>364</v>
      </c>
      <c r="G27" s="1556"/>
      <c r="H27" s="1188"/>
      <c r="I27" s="1189">
        <v>0</v>
      </c>
    </row>
    <row r="28" spans="1:9" s="1214" customFormat="1" ht="24.75" customHeight="1">
      <c r="A28" s="1212"/>
      <c r="B28" s="1557" t="s">
        <v>771</v>
      </c>
      <c r="C28" s="1558"/>
      <c r="D28" s="1558"/>
      <c r="E28" s="1558"/>
      <c r="F28" s="1555" t="s">
        <v>980</v>
      </c>
      <c r="G28" s="1556"/>
      <c r="H28" s="1188">
        <v>0.5</v>
      </c>
      <c r="I28" s="1189">
        <f>H28*I5</f>
        <v>3346.8031000000001</v>
      </c>
    </row>
    <row r="29" spans="1:9" s="1214" customFormat="1" ht="21.75" customHeight="1">
      <c r="A29" s="1212"/>
      <c r="B29" s="1569"/>
      <c r="C29" s="1570"/>
      <c r="D29" s="1570"/>
      <c r="E29" s="1570"/>
      <c r="F29" s="1555" t="s">
        <v>364</v>
      </c>
      <c r="G29" s="1556"/>
      <c r="H29" s="1188">
        <v>0.5</v>
      </c>
      <c r="I29" s="1189">
        <f>H29*I13</f>
        <v>1186.2727999999997</v>
      </c>
    </row>
    <row r="30" spans="1:9" s="1213" customFormat="1" ht="15.75" customHeight="1">
      <c r="A30" s="1212"/>
      <c r="B30" s="1557" t="s">
        <v>772</v>
      </c>
      <c r="C30" s="1558"/>
      <c r="D30" s="1558"/>
      <c r="E30" s="1558"/>
      <c r="F30" s="1555" t="s">
        <v>980</v>
      </c>
      <c r="G30" s="1556"/>
      <c r="H30" s="1188">
        <v>0.9</v>
      </c>
      <c r="I30" s="1189">
        <f>H30*I5</f>
        <v>6024.2455800000007</v>
      </c>
    </row>
    <row r="31" spans="1:9" s="1213" customFormat="1" hidden="1">
      <c r="A31" s="1212"/>
      <c r="B31" s="1559"/>
      <c r="C31" s="1560"/>
      <c r="D31" s="1560"/>
      <c r="E31" s="1560"/>
      <c r="F31" s="1555"/>
      <c r="G31" s="1556"/>
      <c r="H31" s="1188"/>
      <c r="I31" s="1189">
        <f>H31*I$5</f>
        <v>0</v>
      </c>
    </row>
    <row r="32" spans="1:9" s="1213" customFormat="1">
      <c r="A32" s="1212"/>
      <c r="B32" s="1561"/>
      <c r="C32" s="1562"/>
      <c r="D32" s="1562"/>
      <c r="E32" s="1562"/>
      <c r="F32" s="1555" t="s">
        <v>364</v>
      </c>
      <c r="G32" s="1556"/>
      <c r="H32" s="1188">
        <v>0.9</v>
      </c>
      <c r="I32" s="1189">
        <f>H32*I$13</f>
        <v>2135.2910399999996</v>
      </c>
    </row>
    <row r="33" spans="1:9" s="1213" customFormat="1" ht="22.5" customHeight="1">
      <c r="A33" s="1212"/>
      <c r="B33" s="1557" t="s">
        <v>982</v>
      </c>
      <c r="C33" s="1558"/>
      <c r="D33" s="1558"/>
      <c r="E33" s="1558"/>
      <c r="F33" s="1555" t="s">
        <v>980</v>
      </c>
      <c r="G33" s="1556"/>
      <c r="H33" s="1188">
        <v>0.3</v>
      </c>
      <c r="I33" s="1189">
        <f>H33*I5</f>
        <v>2008.08186</v>
      </c>
    </row>
    <row r="34" spans="1:9" s="1213" customFormat="1" hidden="1">
      <c r="A34" s="1187"/>
      <c r="B34" s="1559"/>
      <c r="C34" s="1560"/>
      <c r="D34" s="1560"/>
      <c r="E34" s="1560"/>
      <c r="F34" s="1555"/>
      <c r="G34" s="1556"/>
      <c r="H34" s="1188"/>
      <c r="I34" s="1189">
        <f>H34*I$5</f>
        <v>0</v>
      </c>
    </row>
    <row r="35" spans="1:9" s="1213" customFormat="1" ht="31.5" customHeight="1">
      <c r="A35" s="1187"/>
      <c r="B35" s="1561"/>
      <c r="C35" s="1562"/>
      <c r="D35" s="1562"/>
      <c r="E35" s="1562"/>
      <c r="F35" s="1555" t="s">
        <v>364</v>
      </c>
      <c r="G35" s="1556"/>
      <c r="H35" s="1188">
        <v>0.2</v>
      </c>
      <c r="I35" s="1189">
        <f>H35*I$13</f>
        <v>474.50911999999994</v>
      </c>
    </row>
    <row r="36" spans="1:9">
      <c r="A36" s="46"/>
      <c r="B36" s="47"/>
      <c r="C36" s="48"/>
      <c r="D36" s="48"/>
      <c r="E36" s="48"/>
      <c r="F36" s="64"/>
      <c r="G36" s="65"/>
      <c r="H36" s="506"/>
      <c r="I36" s="66"/>
    </row>
    <row r="37" spans="1:9" s="12" customFormat="1" ht="54.75" customHeight="1">
      <c r="A37" s="237" t="str">
        <f>L_CViec!A93</f>
        <v>II</v>
      </c>
      <c r="B37" s="1553" t="str">
        <f>L_CViec!B93</f>
        <v>Đăng ký, cấp Giấy chứng nhận lần đầu đơn lẻ đối với hộ gia đình, cá nhân, cộng đồng dân cư, tổ chức trong nước, người gốc Việt Nam định cư ở nước ngoài tại địa bàn cấp xã, phường</v>
      </c>
      <c r="C37" s="1554"/>
      <c r="D37" s="1554"/>
      <c r="E37" s="315"/>
      <c r="F37" s="315"/>
      <c r="G37" s="202"/>
      <c r="H37" s="225"/>
      <c r="I37" s="1215" t="s">
        <v>512</v>
      </c>
    </row>
    <row r="38" spans="1:9">
      <c r="A38" s="242">
        <v>1</v>
      </c>
      <c r="B38" s="204" t="s">
        <v>980</v>
      </c>
      <c r="C38" s="205"/>
      <c r="D38" s="205"/>
      <c r="E38" s="206"/>
      <c r="F38" s="56"/>
      <c r="G38" s="57"/>
      <c r="H38" s="502"/>
      <c r="I38" s="58">
        <f>SUM(I39:I44)</f>
        <v>10374.665399999998</v>
      </c>
    </row>
    <row r="39" spans="1:9" s="59" customFormat="1">
      <c r="A39" s="243"/>
      <c r="B39" s="7" t="s">
        <v>410</v>
      </c>
      <c r="C39" s="8" t="s">
        <v>366</v>
      </c>
      <c r="D39" s="8">
        <v>0.4</v>
      </c>
      <c r="E39" s="8">
        <f>'Gia_Dcu-Tbi-Vlieu'!E$26</f>
        <v>5</v>
      </c>
      <c r="F39" s="60">
        <f>'Gia_Dcu-Tbi-Vlieu'!F$26</f>
        <v>33480000</v>
      </c>
      <c r="G39" s="61">
        <f>'Gia_Dcu-Tbi-Vlieu'!G$26</f>
        <v>13392</v>
      </c>
      <c r="H39" s="1219">
        <v>0.63500000000000001</v>
      </c>
      <c r="I39" s="62">
        <f t="shared" ref="I39:I45" si="1">G39*H39</f>
        <v>8503.92</v>
      </c>
    </row>
    <row r="40" spans="1:9">
      <c r="A40" s="244"/>
      <c r="B40" s="7" t="s">
        <v>383</v>
      </c>
      <c r="C40" s="8" t="s">
        <v>366</v>
      </c>
      <c r="D40" s="8">
        <v>0.6</v>
      </c>
      <c r="E40" s="8">
        <f>'Gia_Dcu-Tbi-Vlieu'!E$27</f>
        <v>10</v>
      </c>
      <c r="F40" s="60">
        <f>'Gia_Dcu-Tbi-Vlieu'!F$27</f>
        <v>9150000</v>
      </c>
      <c r="G40" s="61">
        <f>'Gia_Dcu-Tbi-Vlieu'!G$27</f>
        <v>1830</v>
      </c>
      <c r="H40" s="1219">
        <v>1.7999999999999999E-2</v>
      </c>
      <c r="I40" s="62">
        <f t="shared" si="1"/>
        <v>32.94</v>
      </c>
    </row>
    <row r="41" spans="1:9">
      <c r="A41" s="244"/>
      <c r="B41" s="7" t="s">
        <v>385</v>
      </c>
      <c r="C41" s="8" t="s">
        <v>366</v>
      </c>
      <c r="D41" s="8">
        <v>0.6</v>
      </c>
      <c r="E41" s="8">
        <f>'Gia_Dcu-Tbi-Vlieu'!E$28</f>
        <v>10</v>
      </c>
      <c r="F41" s="60">
        <f>'Gia_Dcu-Tbi-Vlieu'!F$28</f>
        <v>25499000</v>
      </c>
      <c r="G41" s="61">
        <f>'Gia_Dcu-Tbi-Vlieu'!G$28</f>
        <v>5099.8</v>
      </c>
      <c r="H41" s="1219">
        <v>0.02</v>
      </c>
      <c r="I41" s="62">
        <f t="shared" si="1"/>
        <v>101.99600000000001</v>
      </c>
    </row>
    <row r="42" spans="1:9">
      <c r="A42" s="244"/>
      <c r="B42" s="7" t="s">
        <v>386</v>
      </c>
      <c r="C42" s="8" t="s">
        <v>366</v>
      </c>
      <c r="D42" s="8">
        <v>0.6</v>
      </c>
      <c r="E42" s="8">
        <f>'Gia_Dcu-Tbi-Vlieu'!E$29</f>
        <v>10</v>
      </c>
      <c r="F42" s="60">
        <f>'Gia_Dcu-Tbi-Vlieu'!F$30</f>
        <v>25499000</v>
      </c>
      <c r="G42" s="61">
        <f>'Gia_Dcu-Tbi-Vlieu'!G$29</f>
        <v>34737.4</v>
      </c>
      <c r="H42" s="1219">
        <v>0.02</v>
      </c>
      <c r="I42" s="62">
        <f t="shared" si="1"/>
        <v>694.74800000000005</v>
      </c>
    </row>
    <row r="43" spans="1:9">
      <c r="A43" s="244"/>
      <c r="B43" s="7" t="s">
        <v>411</v>
      </c>
      <c r="C43" s="8" t="s">
        <v>366</v>
      </c>
      <c r="D43" s="8">
        <v>2.2000000000000002</v>
      </c>
      <c r="E43" s="8">
        <f>'Gia_Dcu-Tbi-Vlieu'!E$30</f>
        <v>10</v>
      </c>
      <c r="F43" s="60">
        <f>'Gia_Dcu-Tbi-Vlieu'!F$31</f>
        <v>14200000</v>
      </c>
      <c r="G43" s="61">
        <f>'Gia_Dcu-Tbi-Vlieu'!G$30</f>
        <v>5099.8</v>
      </c>
      <c r="H43" s="1219">
        <v>0.193</v>
      </c>
      <c r="I43" s="62">
        <f t="shared" si="1"/>
        <v>984.26140000000009</v>
      </c>
    </row>
    <row r="44" spans="1:9" s="6" customFormat="1">
      <c r="A44" s="244"/>
      <c r="B44" s="7" t="s">
        <v>44</v>
      </c>
      <c r="C44" s="8" t="s">
        <v>366</v>
      </c>
      <c r="D44" s="8">
        <v>1.5</v>
      </c>
      <c r="E44" s="8">
        <f>'Gia_Dcu-Tbi-Vlieu'!E$31</f>
        <v>10</v>
      </c>
      <c r="F44" s="60">
        <f>'Gia_Dcu-Tbi-Vlieu'!F$32</f>
        <v>39400000</v>
      </c>
      <c r="G44" s="61">
        <f>'Gia_Dcu-Tbi-Vlieu'!G$31</f>
        <v>2840</v>
      </c>
      <c r="H44" s="1219">
        <v>0.02</v>
      </c>
      <c r="I44" s="62">
        <f t="shared" si="1"/>
        <v>56.800000000000004</v>
      </c>
    </row>
    <row r="45" spans="1:9" s="59" customFormat="1">
      <c r="A45" s="255"/>
      <c r="B45" s="256" t="s">
        <v>18</v>
      </c>
      <c r="C45" s="257" t="s">
        <v>381</v>
      </c>
      <c r="D45" s="257"/>
      <c r="E45" s="258">
        <f>'Gia_Dcu-Tbi-Vlieu'!E$35</f>
        <v>1</v>
      </c>
      <c r="F45" s="56">
        <f>'Gia_Dcu-Tbi-Vlieu'!F$35</f>
        <v>2204.0655000000002</v>
      </c>
      <c r="G45" s="57">
        <f>'Gia_Dcu-Tbi-Vlieu'!G$35</f>
        <v>2204.0655000000002</v>
      </c>
      <c r="H45" s="1219">
        <v>5.9390000000000001</v>
      </c>
      <c r="I45" s="58">
        <f t="shared" si="1"/>
        <v>13089.945004500001</v>
      </c>
    </row>
    <row r="46" spans="1:9" s="6" customFormat="1">
      <c r="A46" s="239"/>
      <c r="B46" s="11" t="s">
        <v>332</v>
      </c>
      <c r="C46" s="10"/>
      <c r="D46" s="10"/>
      <c r="E46" s="10"/>
      <c r="F46" s="67"/>
      <c r="G46" s="68"/>
      <c r="H46" s="507"/>
      <c r="I46" s="69"/>
    </row>
    <row r="47" spans="1:9" s="59" customFormat="1" ht="36.75" customHeight="1">
      <c r="A47" s="14"/>
      <c r="B47" s="7" t="s">
        <v>432</v>
      </c>
      <c r="C47" s="8"/>
      <c r="D47" s="8"/>
      <c r="E47" s="8"/>
      <c r="F47" s="60"/>
      <c r="G47" s="61"/>
      <c r="H47" s="503"/>
      <c r="I47" s="62"/>
    </row>
    <row r="48" spans="1:9" ht="54.75" customHeight="1">
      <c r="A48" s="14"/>
      <c r="B48" s="1563" t="s">
        <v>433</v>
      </c>
      <c r="C48" s="1564"/>
      <c r="D48" s="1565"/>
      <c r="E48" s="1566" t="s">
        <v>980</v>
      </c>
      <c r="F48" s="1567"/>
      <c r="G48" s="1567"/>
      <c r="H48" s="1568"/>
      <c r="I48" s="62">
        <f>I38*1.3</f>
        <v>13487.065019999998</v>
      </c>
    </row>
    <row r="49" spans="1:9">
      <c r="A49" s="46"/>
      <c r="B49" s="47"/>
      <c r="C49" s="48"/>
      <c r="D49" s="48"/>
      <c r="E49" s="48"/>
      <c r="F49" s="64"/>
      <c r="G49" s="65"/>
      <c r="H49" s="227"/>
      <c r="I49" s="66"/>
    </row>
    <row r="50" spans="1:9" s="12" customFormat="1" ht="43.5" customHeight="1">
      <c r="A50" s="237" t="str">
        <f>L_CViec!A161</f>
        <v>III</v>
      </c>
      <c r="B50" s="1553" t="str">
        <f>L_CViec!B161</f>
        <v>Định mức lao động đăng ký, cấp Giấy chứng nhận lần đầu đối với tổ chức (trừ trường hợp thuộc thẩm quyền quyết định của UBND xã, phường), tổ chức tôn giáo, tổ chức tôn giáo trực thuộc đang sử dụng đất</v>
      </c>
      <c r="C50" s="1554"/>
      <c r="D50" s="1554"/>
      <c r="E50" s="202"/>
      <c r="F50" s="233"/>
      <c r="G50" s="202"/>
      <c r="H50" s="225"/>
      <c r="I50" s="316" t="s">
        <v>438</v>
      </c>
    </row>
    <row r="51" spans="1:9">
      <c r="A51" s="242">
        <v>1</v>
      </c>
      <c r="B51" s="204" t="s">
        <v>980</v>
      </c>
      <c r="C51" s="205"/>
      <c r="D51" s="205"/>
      <c r="E51" s="206"/>
      <c r="F51" s="56"/>
      <c r="G51" s="57"/>
      <c r="H51" s="226"/>
      <c r="I51" s="58">
        <f>SUM(I52:I57)</f>
        <v>11928.373399999999</v>
      </c>
    </row>
    <row r="52" spans="1:9">
      <c r="A52" s="242"/>
      <c r="B52" s="1220" t="str">
        <f>B60</f>
        <v>Máy vi tính</v>
      </c>
      <c r="C52" s="8" t="s">
        <v>366</v>
      </c>
      <c r="D52" s="1221">
        <f>D60</f>
        <v>0.4</v>
      </c>
      <c r="E52" s="1222">
        <f>E60</f>
        <v>5</v>
      </c>
      <c r="F52" s="1223">
        <f>F60</f>
        <v>33480000</v>
      </c>
      <c r="G52" s="1224">
        <f>G60</f>
        <v>13392</v>
      </c>
      <c r="H52" s="503">
        <v>0.753</v>
      </c>
      <c r="I52" s="62">
        <f>G52*H52</f>
        <v>10084.175999999999</v>
      </c>
    </row>
    <row r="53" spans="1:9">
      <c r="A53" s="242"/>
      <c r="B53" s="1220" t="str">
        <f t="shared" ref="B53:B58" si="2">B61</f>
        <v>Máy in laser A4</v>
      </c>
      <c r="C53" s="8" t="s">
        <v>366</v>
      </c>
      <c r="D53" s="1221">
        <f t="shared" ref="D53:G58" si="3">D61</f>
        <v>0.6</v>
      </c>
      <c r="E53" s="1222">
        <f t="shared" si="3"/>
        <v>10</v>
      </c>
      <c r="F53" s="1223">
        <f t="shared" si="3"/>
        <v>9150000</v>
      </c>
      <c r="G53" s="1224">
        <f t="shared" si="3"/>
        <v>1830</v>
      </c>
      <c r="H53" s="503">
        <v>6.0000000000000001E-3</v>
      </c>
      <c r="I53" s="62">
        <f t="shared" ref="I53:I58" si="4">G53*H53</f>
        <v>10.98</v>
      </c>
    </row>
    <row r="54" spans="1:9">
      <c r="A54" s="242"/>
      <c r="B54" s="1220" t="str">
        <f t="shared" si="2"/>
        <v>Máy in laser A3</v>
      </c>
      <c r="C54" s="8" t="s">
        <v>366</v>
      </c>
      <c r="D54" s="1221">
        <f t="shared" si="3"/>
        <v>0.6</v>
      </c>
      <c r="E54" s="1222">
        <f t="shared" si="3"/>
        <v>10</v>
      </c>
      <c r="F54" s="1223">
        <f t="shared" si="3"/>
        <v>25499000</v>
      </c>
      <c r="G54" s="1224">
        <f t="shared" si="3"/>
        <v>5099.8</v>
      </c>
      <c r="H54" s="503">
        <v>0.01</v>
      </c>
      <c r="I54" s="62">
        <f t="shared" si="4"/>
        <v>50.998000000000005</v>
      </c>
    </row>
    <row r="55" spans="1:9">
      <c r="A55" s="242"/>
      <c r="B55" s="1220" t="str">
        <f t="shared" si="2"/>
        <v>Máy SCAN A3</v>
      </c>
      <c r="C55" s="8" t="s">
        <v>366</v>
      </c>
      <c r="D55" s="1221">
        <f t="shared" si="3"/>
        <v>0.6</v>
      </c>
      <c r="E55" s="1222">
        <f t="shared" si="3"/>
        <v>10</v>
      </c>
      <c r="F55" s="1223">
        <f t="shared" si="3"/>
        <v>25499000</v>
      </c>
      <c r="G55" s="1224">
        <f t="shared" si="3"/>
        <v>34737.4</v>
      </c>
      <c r="H55" s="503">
        <v>0.01</v>
      </c>
      <c r="I55" s="62">
        <f t="shared" si="4"/>
        <v>347.37400000000002</v>
      </c>
    </row>
    <row r="56" spans="1:9">
      <c r="A56" s="242"/>
      <c r="B56" s="1220" t="str">
        <f t="shared" si="2"/>
        <v>Điều hòa nhiệt độ</v>
      </c>
      <c r="C56" s="8" t="s">
        <v>366</v>
      </c>
      <c r="D56" s="1221">
        <f t="shared" si="3"/>
        <v>2.2000000000000002</v>
      </c>
      <c r="E56" s="1222">
        <f t="shared" si="3"/>
        <v>10</v>
      </c>
      <c r="F56" s="1223">
        <f t="shared" si="3"/>
        <v>14200000</v>
      </c>
      <c r="G56" s="1224">
        <f t="shared" si="3"/>
        <v>5099.8</v>
      </c>
      <c r="H56" s="503">
        <v>0.27300000000000002</v>
      </c>
      <c r="I56" s="62">
        <f t="shared" si="4"/>
        <v>1392.2454000000002</v>
      </c>
    </row>
    <row r="57" spans="1:9">
      <c r="A57" s="242"/>
      <c r="B57" s="1220" t="str">
        <f t="shared" si="2"/>
        <v>Máy photocopy</v>
      </c>
      <c r="C57" s="8" t="s">
        <v>366</v>
      </c>
      <c r="D57" s="1221">
        <f t="shared" si="3"/>
        <v>1.5</v>
      </c>
      <c r="E57" s="1222">
        <f t="shared" si="3"/>
        <v>10</v>
      </c>
      <c r="F57" s="1223">
        <f t="shared" si="3"/>
        <v>39400000</v>
      </c>
      <c r="G57" s="1224">
        <f t="shared" si="3"/>
        <v>2840</v>
      </c>
      <c r="H57" s="503">
        <v>1.4999999999999999E-2</v>
      </c>
      <c r="I57" s="62">
        <f t="shared" si="4"/>
        <v>42.6</v>
      </c>
    </row>
    <row r="58" spans="1:9">
      <c r="A58" s="242"/>
      <c r="B58" s="1220" t="str">
        <f t="shared" si="2"/>
        <v>Điện năng</v>
      </c>
      <c r="C58" s="257" t="s">
        <v>381</v>
      </c>
      <c r="D58" s="1221">
        <f t="shared" si="3"/>
        <v>0</v>
      </c>
      <c r="E58" s="1222">
        <f t="shared" si="3"/>
        <v>1</v>
      </c>
      <c r="F58" s="56">
        <f t="shared" si="3"/>
        <v>2204.0655000000002</v>
      </c>
      <c r="G58" s="1224">
        <f t="shared" si="3"/>
        <v>2204.0655000000002</v>
      </c>
      <c r="H58" s="503">
        <v>7.5149999999999997</v>
      </c>
      <c r="I58" s="58">
        <f t="shared" si="4"/>
        <v>16563.552232500002</v>
      </c>
    </row>
    <row r="59" spans="1:9">
      <c r="A59" s="242">
        <v>2</v>
      </c>
      <c r="B59" s="204" t="s">
        <v>364</v>
      </c>
      <c r="C59" s="205"/>
      <c r="D59" s="205"/>
      <c r="E59" s="206"/>
      <c r="F59" s="56"/>
      <c r="G59" s="57"/>
      <c r="H59" s="502"/>
      <c r="I59" s="58">
        <f>SUM(I60:I65)</f>
        <v>23841.524799999999</v>
      </c>
    </row>
    <row r="60" spans="1:9" s="59" customFormat="1">
      <c r="A60" s="14"/>
      <c r="B60" s="7" t="s">
        <v>410</v>
      </c>
      <c r="C60" s="8" t="s">
        <v>366</v>
      </c>
      <c r="D60" s="8">
        <v>0.4</v>
      </c>
      <c r="E60" s="8">
        <f>'Gia_Dcu-Tbi-Vlieu'!E$26</f>
        <v>5</v>
      </c>
      <c r="F60" s="60">
        <f>'Gia_Dcu-Tbi-Vlieu'!F$26</f>
        <v>33480000</v>
      </c>
      <c r="G60" s="61">
        <f>'Gia_Dcu-Tbi-Vlieu'!G$26</f>
        <v>13392</v>
      </c>
      <c r="H60" s="503">
        <v>1.5049999999999999</v>
      </c>
      <c r="I60" s="62">
        <f>G60*H60</f>
        <v>20154.96</v>
      </c>
    </row>
    <row r="61" spans="1:9">
      <c r="A61" s="14"/>
      <c r="B61" s="7" t="s">
        <v>383</v>
      </c>
      <c r="C61" s="8" t="s">
        <v>366</v>
      </c>
      <c r="D61" s="8">
        <v>0.6</v>
      </c>
      <c r="E61" s="8">
        <f>'Gia_Dcu-Tbi-Vlieu'!E$27</f>
        <v>10</v>
      </c>
      <c r="F61" s="60">
        <f>'Gia_Dcu-Tbi-Vlieu'!F$27</f>
        <v>9150000</v>
      </c>
      <c r="G61" s="61">
        <f>'Gia_Dcu-Tbi-Vlieu'!G$27</f>
        <v>1830</v>
      </c>
      <c r="H61" s="503">
        <v>1.0999999999999999E-2</v>
      </c>
      <c r="I61" s="62">
        <f t="shared" ref="I61:I66" si="5">G61*H61</f>
        <v>20.13</v>
      </c>
    </row>
    <row r="62" spans="1:9">
      <c r="A62" s="14"/>
      <c r="B62" s="7" t="s">
        <v>385</v>
      </c>
      <c r="C62" s="8" t="s">
        <v>366</v>
      </c>
      <c r="D62" s="8">
        <v>0.6</v>
      </c>
      <c r="E62" s="8">
        <f>'Gia_Dcu-Tbi-Vlieu'!E$28</f>
        <v>10</v>
      </c>
      <c r="F62" s="60">
        <f>'Gia_Dcu-Tbi-Vlieu'!F$28</f>
        <v>25499000</v>
      </c>
      <c r="G62" s="61">
        <f>'Gia_Dcu-Tbi-Vlieu'!G$28</f>
        <v>5099.8</v>
      </c>
      <c r="H62" s="503">
        <v>0.02</v>
      </c>
      <c r="I62" s="62">
        <f t="shared" si="5"/>
        <v>101.99600000000001</v>
      </c>
    </row>
    <row r="63" spans="1:9">
      <c r="A63" s="14"/>
      <c r="B63" s="7" t="s">
        <v>386</v>
      </c>
      <c r="C63" s="8" t="s">
        <v>366</v>
      </c>
      <c r="D63" s="8">
        <v>0.6</v>
      </c>
      <c r="E63" s="8">
        <f>'Gia_Dcu-Tbi-Vlieu'!E$29</f>
        <v>10</v>
      </c>
      <c r="F63" s="60">
        <f>'Gia_Dcu-Tbi-Vlieu'!F$30</f>
        <v>25499000</v>
      </c>
      <c r="G63" s="61">
        <f>'Gia_Dcu-Tbi-Vlieu'!G$29</f>
        <v>34737.4</v>
      </c>
      <c r="H63" s="503">
        <v>0.02</v>
      </c>
      <c r="I63" s="62">
        <f t="shared" si="5"/>
        <v>694.74800000000005</v>
      </c>
    </row>
    <row r="64" spans="1:9">
      <c r="A64" s="14"/>
      <c r="B64" s="7" t="s">
        <v>411</v>
      </c>
      <c r="C64" s="8" t="s">
        <v>366</v>
      </c>
      <c r="D64" s="8">
        <v>2.2000000000000002</v>
      </c>
      <c r="E64" s="8">
        <f>'Gia_Dcu-Tbi-Vlieu'!E$30</f>
        <v>10</v>
      </c>
      <c r="F64" s="60">
        <f>'Gia_Dcu-Tbi-Vlieu'!F$31</f>
        <v>14200000</v>
      </c>
      <c r="G64" s="61">
        <f>'Gia_Dcu-Tbi-Vlieu'!G$30</f>
        <v>5099.8</v>
      </c>
      <c r="H64" s="503">
        <v>0.54600000000000004</v>
      </c>
      <c r="I64" s="62">
        <f t="shared" si="5"/>
        <v>2784.4908000000005</v>
      </c>
    </row>
    <row r="65" spans="1:9">
      <c r="A65" s="14"/>
      <c r="B65" s="7" t="s">
        <v>44</v>
      </c>
      <c r="C65" s="8" t="s">
        <v>366</v>
      </c>
      <c r="D65" s="8">
        <v>1.5</v>
      </c>
      <c r="E65" s="8">
        <f>'Gia_Dcu-Tbi-Vlieu'!E$31</f>
        <v>10</v>
      </c>
      <c r="F65" s="60">
        <f>'Gia_Dcu-Tbi-Vlieu'!F$32</f>
        <v>39400000</v>
      </c>
      <c r="G65" s="61">
        <f>'Gia_Dcu-Tbi-Vlieu'!G$31</f>
        <v>2840</v>
      </c>
      <c r="H65" s="503">
        <v>0.03</v>
      </c>
      <c r="I65" s="62">
        <f t="shared" si="5"/>
        <v>85.2</v>
      </c>
    </row>
    <row r="66" spans="1:9" s="59" customFormat="1">
      <c r="A66" s="255"/>
      <c r="B66" s="256" t="s">
        <v>18</v>
      </c>
      <c r="C66" s="257" t="s">
        <v>381</v>
      </c>
      <c r="D66" s="257"/>
      <c r="E66" s="258">
        <f>'Gia_Dcu-Tbi-Vlieu'!E$35</f>
        <v>1</v>
      </c>
      <c r="F66" s="56">
        <f>'Gia_Dcu-Tbi-Vlieu'!F$35</f>
        <v>2204.0655000000002</v>
      </c>
      <c r="G66" s="57">
        <f>'Gia_Dcu-Tbi-Vlieu'!G$35</f>
        <v>2204.0655000000002</v>
      </c>
      <c r="H66" s="502">
        <v>15.03</v>
      </c>
      <c r="I66" s="58">
        <f t="shared" si="5"/>
        <v>33127.104465000004</v>
      </c>
    </row>
    <row r="67" spans="1:9">
      <c r="A67" s="46"/>
      <c r="B67" s="235"/>
      <c r="C67" s="48"/>
      <c r="D67" s="48"/>
      <c r="E67" s="48"/>
      <c r="F67" s="64"/>
      <c r="G67" s="65"/>
      <c r="H67" s="227"/>
      <c r="I67" s="66"/>
    </row>
    <row r="68" spans="1:9" s="12" customFormat="1" ht="30" customHeight="1">
      <c r="A68" s="237" t="str">
        <f>L_CViec!A209</f>
        <v>IV</v>
      </c>
      <c r="B68" s="1553" t="str">
        <f>L_CViec!B209</f>
        <v>Định mức lao động đăng ký, cấp đổi Giấy chứng nhận đồng loạt tại xã, phường</v>
      </c>
      <c r="C68" s="1554"/>
      <c r="D68" s="1554"/>
      <c r="E68" s="202"/>
      <c r="F68" s="233"/>
      <c r="G68" s="202"/>
      <c r="H68" s="225"/>
      <c r="I68" s="316" t="s">
        <v>448</v>
      </c>
    </row>
    <row r="69" spans="1:9" s="59" customFormat="1">
      <c r="A69" s="1225">
        <v>1</v>
      </c>
      <c r="B69" s="1226" t="s">
        <v>980</v>
      </c>
      <c r="C69" s="205"/>
      <c r="D69" s="205"/>
      <c r="E69" s="206"/>
      <c r="F69" s="56"/>
      <c r="G69" s="57"/>
      <c r="H69" s="502"/>
      <c r="I69" s="58">
        <f>SUM(I70:I76)</f>
        <v>6077.8453999999992</v>
      </c>
    </row>
    <row r="70" spans="1:9">
      <c r="A70" s="243"/>
      <c r="B70" s="7" t="s">
        <v>410</v>
      </c>
      <c r="C70" s="8" t="s">
        <v>366</v>
      </c>
      <c r="D70" s="8">
        <v>0.4</v>
      </c>
      <c r="E70" s="8">
        <f>'Gia_Dcu-Tbi-Vlieu'!E$26</f>
        <v>5</v>
      </c>
      <c r="F70" s="60">
        <f>'Gia_Dcu-Tbi-Vlieu'!F$26</f>
        <v>33480000</v>
      </c>
      <c r="G70" s="61">
        <f>'Gia_Dcu-Tbi-Vlieu'!G$26</f>
        <v>13392</v>
      </c>
      <c r="H70" s="503">
        <v>0.29399999999999998</v>
      </c>
      <c r="I70" s="62">
        <f t="shared" ref="I70:I77" si="6">G70*H70</f>
        <v>3937.2479999999996</v>
      </c>
    </row>
    <row r="71" spans="1:9">
      <c r="A71" s="244"/>
      <c r="B71" s="7" t="s">
        <v>383</v>
      </c>
      <c r="C71" s="8" t="s">
        <v>366</v>
      </c>
      <c r="D71" s="8">
        <v>0.6</v>
      </c>
      <c r="E71" s="8">
        <f>'Gia_Dcu-Tbi-Vlieu'!E$27</f>
        <v>10</v>
      </c>
      <c r="F71" s="60">
        <f>'Gia_Dcu-Tbi-Vlieu'!F$27</f>
        <v>9150000</v>
      </c>
      <c r="G71" s="61">
        <f>'Gia_Dcu-Tbi-Vlieu'!G$27</f>
        <v>1830</v>
      </c>
      <c r="H71" s="503">
        <v>8.9999999999999993E-3</v>
      </c>
      <c r="I71" s="62">
        <f t="shared" si="6"/>
        <v>16.47</v>
      </c>
    </row>
    <row r="72" spans="1:9">
      <c r="A72" s="244"/>
      <c r="B72" s="7" t="s">
        <v>385</v>
      </c>
      <c r="C72" s="8" t="s">
        <v>366</v>
      </c>
      <c r="D72" s="8">
        <v>0.6</v>
      </c>
      <c r="E72" s="8">
        <f>'Gia_Dcu-Tbi-Vlieu'!E$28</f>
        <v>10</v>
      </c>
      <c r="F72" s="60">
        <f>'Gia_Dcu-Tbi-Vlieu'!F$28</f>
        <v>25499000</v>
      </c>
      <c r="G72" s="61">
        <f>'Gia_Dcu-Tbi-Vlieu'!G$28</f>
        <v>5099.8</v>
      </c>
      <c r="H72" s="503">
        <v>0.04</v>
      </c>
      <c r="I72" s="62">
        <f t="shared" si="6"/>
        <v>203.99200000000002</v>
      </c>
    </row>
    <row r="73" spans="1:9">
      <c r="A73" s="244"/>
      <c r="B73" s="7" t="s">
        <v>386</v>
      </c>
      <c r="C73" s="8" t="s">
        <v>366</v>
      </c>
      <c r="D73" s="8">
        <v>0.6</v>
      </c>
      <c r="E73" s="8">
        <f>'Gia_Dcu-Tbi-Vlieu'!E$29</f>
        <v>10</v>
      </c>
      <c r="F73" s="60">
        <f>'Gia_Dcu-Tbi-Vlieu'!F$30</f>
        <v>25499000</v>
      </c>
      <c r="G73" s="61">
        <f>'Gia_Dcu-Tbi-Vlieu'!G$29</f>
        <v>34737.4</v>
      </c>
      <c r="H73" s="503">
        <v>0.04</v>
      </c>
      <c r="I73" s="62">
        <f t="shared" si="6"/>
        <v>1389.4960000000001</v>
      </c>
    </row>
    <row r="74" spans="1:9" s="6" customFormat="1">
      <c r="A74" s="244"/>
      <c r="B74" s="7" t="s">
        <v>411</v>
      </c>
      <c r="C74" s="8" t="s">
        <v>366</v>
      </c>
      <c r="D74" s="8">
        <v>2.2000000000000002</v>
      </c>
      <c r="E74" s="8">
        <f>'Gia_Dcu-Tbi-Vlieu'!E$30</f>
        <v>10</v>
      </c>
      <c r="F74" s="60">
        <f>'Gia_Dcu-Tbi-Vlieu'!F$31</f>
        <v>14200000</v>
      </c>
      <c r="G74" s="61">
        <f>'Gia_Dcu-Tbi-Vlieu'!G$30</f>
        <v>5099.8</v>
      </c>
      <c r="H74" s="503">
        <v>0.09</v>
      </c>
      <c r="I74" s="62">
        <f t="shared" si="6"/>
        <v>458.98200000000003</v>
      </c>
    </row>
    <row r="75" spans="1:9" s="59" customFormat="1">
      <c r="A75" s="244"/>
      <c r="B75" s="7" t="s">
        <v>442</v>
      </c>
      <c r="C75" s="8" t="s">
        <v>366</v>
      </c>
      <c r="D75" s="8">
        <v>1.5</v>
      </c>
      <c r="E75" s="8">
        <f>'Gia_Dcu-Tbi-Vlieu'!E$31</f>
        <v>10</v>
      </c>
      <c r="F75" s="60">
        <f>'Gia_Dcu-Tbi-Vlieu'!F$31</f>
        <v>14200000</v>
      </c>
      <c r="G75" s="61">
        <f>'Gia_Dcu-Tbi-Vlieu'!G$31</f>
        <v>2840</v>
      </c>
      <c r="H75" s="503">
        <v>1.2999999999999999E-2</v>
      </c>
      <c r="I75" s="62">
        <f t="shared" si="6"/>
        <v>36.92</v>
      </c>
    </row>
    <row r="76" spans="1:9" s="59" customFormat="1">
      <c r="A76" s="244"/>
      <c r="B76" s="7" t="s">
        <v>384</v>
      </c>
      <c r="C76" s="8"/>
      <c r="D76" s="8">
        <v>1.5</v>
      </c>
      <c r="E76" s="8">
        <v>10</v>
      </c>
      <c r="F76" s="60">
        <f>'Gia_Dcu-Tbi-Vlieu'!F33</f>
        <v>173687000</v>
      </c>
      <c r="G76" s="61">
        <f>'Gia_Dcu-Tbi-Vlieu'!G33</f>
        <v>34737.4</v>
      </c>
      <c r="H76" s="503">
        <v>1E-3</v>
      </c>
      <c r="I76" s="62">
        <f t="shared" si="6"/>
        <v>34.737400000000001</v>
      </c>
    </row>
    <row r="77" spans="1:9" s="59" customFormat="1">
      <c r="A77" s="255"/>
      <c r="B77" s="256" t="s">
        <v>18</v>
      </c>
      <c r="C77" s="257" t="s">
        <v>381</v>
      </c>
      <c r="D77" s="257"/>
      <c r="E77" s="258">
        <f>'Gia_Dcu-Tbi-Vlieu'!E$35</f>
        <v>1</v>
      </c>
      <c r="F77" s="56">
        <f>'Gia_Dcu-Tbi-Vlieu'!F$35</f>
        <v>2204.0655000000002</v>
      </c>
      <c r="G77" s="57">
        <f>'Gia_Dcu-Tbi-Vlieu'!G$35</f>
        <v>2204.0655000000002</v>
      </c>
      <c r="H77" s="503">
        <v>3.109</v>
      </c>
      <c r="I77" s="58">
        <f t="shared" si="6"/>
        <v>6852.4396395000003</v>
      </c>
    </row>
    <row r="78" spans="1:9" s="59" customFormat="1">
      <c r="A78" s="1225">
        <v>2</v>
      </c>
      <c r="B78" s="1226" t="s">
        <v>364</v>
      </c>
      <c r="C78" s="205"/>
      <c r="D78" s="205"/>
      <c r="E78" s="206"/>
      <c r="F78" s="56"/>
      <c r="G78" s="57"/>
      <c r="H78" s="502"/>
      <c r="I78" s="58">
        <f>SUM(I79:I83)</f>
        <v>3120.8517999999999</v>
      </c>
    </row>
    <row r="79" spans="1:9">
      <c r="A79" s="243"/>
      <c r="B79" s="7" t="s">
        <v>410</v>
      </c>
      <c r="C79" s="8" t="s">
        <v>366</v>
      </c>
      <c r="D79" s="8">
        <v>0.4</v>
      </c>
      <c r="E79" s="8">
        <f>'Gia_Dcu-Tbi-Vlieu'!E$26</f>
        <v>5</v>
      </c>
      <c r="F79" s="60">
        <f>'Gia_Dcu-Tbi-Vlieu'!F$26</f>
        <v>33480000</v>
      </c>
      <c r="G79" s="61">
        <f>'Gia_Dcu-Tbi-Vlieu'!G$26</f>
        <v>13392</v>
      </c>
      <c r="H79" s="503">
        <v>0.20200000000000001</v>
      </c>
      <c r="I79" s="62">
        <f t="shared" ref="I79:I84" si="7">G79*H79</f>
        <v>2705.1840000000002</v>
      </c>
    </row>
    <row r="80" spans="1:9">
      <c r="A80" s="244"/>
      <c r="B80" s="7" t="s">
        <v>383</v>
      </c>
      <c r="C80" s="8" t="s">
        <v>366</v>
      </c>
      <c r="D80" s="8">
        <v>0.6</v>
      </c>
      <c r="E80" s="8">
        <f>'Gia_Dcu-Tbi-Vlieu'!E$27</f>
        <v>10</v>
      </c>
      <c r="F80" s="60">
        <f>'Gia_Dcu-Tbi-Vlieu'!F$27</f>
        <v>9150000</v>
      </c>
      <c r="G80" s="61">
        <f>'Gia_Dcu-Tbi-Vlieu'!G$27</f>
        <v>1830</v>
      </c>
      <c r="H80" s="503">
        <v>8.0000000000000002E-3</v>
      </c>
      <c r="I80" s="62">
        <f t="shared" si="7"/>
        <v>14.64</v>
      </c>
    </row>
    <row r="81" spans="1:9">
      <c r="A81" s="244"/>
      <c r="B81" s="7" t="s">
        <v>411</v>
      </c>
      <c r="C81" s="8" t="s">
        <v>366</v>
      </c>
      <c r="D81" s="8">
        <v>2.2000000000000002</v>
      </c>
      <c r="E81" s="8">
        <f>'Gia_Dcu-Tbi-Vlieu'!E$30</f>
        <v>10</v>
      </c>
      <c r="F81" s="60">
        <f>'Gia_Dcu-Tbi-Vlieu'!F$31</f>
        <v>14200000</v>
      </c>
      <c r="G81" s="61">
        <f>'Gia_Dcu-Tbi-Vlieu'!G$30</f>
        <v>5099.8</v>
      </c>
      <c r="H81" s="503">
        <v>6.0999999999999999E-2</v>
      </c>
      <c r="I81" s="62">
        <f t="shared" si="7"/>
        <v>311.08780000000002</v>
      </c>
    </row>
    <row r="82" spans="1:9">
      <c r="A82" s="244"/>
      <c r="B82" s="7" t="s">
        <v>44</v>
      </c>
      <c r="C82" s="8" t="s">
        <v>366</v>
      </c>
      <c r="D82" s="8">
        <v>1.5</v>
      </c>
      <c r="E82" s="8">
        <f>'Gia_Dcu-Tbi-Vlieu'!E$31</f>
        <v>10</v>
      </c>
      <c r="F82" s="60">
        <f>'Gia_Dcu-Tbi-Vlieu'!F$32</f>
        <v>39400000</v>
      </c>
      <c r="G82" s="61">
        <f>'Gia_Dcu-Tbi-Vlieu'!G$31</f>
        <v>2840</v>
      </c>
      <c r="H82" s="503">
        <v>2.4E-2</v>
      </c>
      <c r="I82" s="62">
        <f t="shared" si="7"/>
        <v>68.16</v>
      </c>
    </row>
    <row r="83" spans="1:9">
      <c r="A83" s="244"/>
      <c r="B83" s="7" t="s">
        <v>412</v>
      </c>
      <c r="C83" s="8" t="s">
        <v>366</v>
      </c>
      <c r="D83" s="8">
        <v>0.4</v>
      </c>
      <c r="E83" s="8">
        <f>'Gia_Dcu-Tbi-Vlieu'!E$34</f>
        <v>10</v>
      </c>
      <c r="F83" s="60">
        <f>'Gia_Dcu-Tbi-Vlieu'!F$34</f>
        <v>108900000.00000001</v>
      </c>
      <c r="G83" s="61">
        <f>'Gia_Dcu-Tbi-Vlieu'!G$34</f>
        <v>21780.000000000004</v>
      </c>
      <c r="H83" s="503">
        <v>1E-3</v>
      </c>
      <c r="I83" s="62">
        <f t="shared" si="7"/>
        <v>21.780000000000005</v>
      </c>
    </row>
    <row r="84" spans="1:9" s="59" customFormat="1">
      <c r="A84" s="255"/>
      <c r="B84" s="256" t="s">
        <v>18</v>
      </c>
      <c r="C84" s="257" t="s">
        <v>381</v>
      </c>
      <c r="D84" s="257"/>
      <c r="E84" s="258">
        <f>'Gia_Dcu-Tbi-Vlieu'!E$35</f>
        <v>1</v>
      </c>
      <c r="F84" s="56">
        <f>'Gia_Dcu-Tbi-Vlieu'!F$35</f>
        <v>2204.0655000000002</v>
      </c>
      <c r="G84" s="57">
        <f>'Gia_Dcu-Tbi-Vlieu'!G$35</f>
        <v>2204.0655000000002</v>
      </c>
      <c r="H84" s="503">
        <v>2.0459999999999998</v>
      </c>
      <c r="I84" s="58">
        <f t="shared" si="7"/>
        <v>4509.5180129999999</v>
      </c>
    </row>
    <row r="85" spans="1:9">
      <c r="A85" s="245"/>
      <c r="B85" s="44" t="s">
        <v>332</v>
      </c>
      <c r="C85" s="19"/>
      <c r="D85" s="19"/>
      <c r="E85" s="19"/>
      <c r="F85" s="70"/>
      <c r="G85" s="71"/>
      <c r="H85" s="505"/>
      <c r="I85" s="203"/>
    </row>
    <row r="86" spans="1:9" ht="27.75" customHeight="1">
      <c r="A86" s="14"/>
      <c r="B86" s="1563" t="s">
        <v>444</v>
      </c>
      <c r="C86" s="1564"/>
      <c r="D86" s="1565"/>
      <c r="E86" s="1571" t="s">
        <v>980</v>
      </c>
      <c r="F86" s="1572"/>
      <c r="G86" s="1573"/>
      <c r="H86" s="503">
        <v>1.3</v>
      </c>
      <c r="I86" s="62">
        <f>H86*I69</f>
        <v>7901.1990199999991</v>
      </c>
    </row>
    <row r="87" spans="1:9" ht="27.75" hidden="1" customHeight="1">
      <c r="A87" s="14"/>
      <c r="B87" s="1520"/>
      <c r="C87" s="1521"/>
      <c r="D87" s="1522"/>
      <c r="E87" s="1571"/>
      <c r="F87" s="1572"/>
      <c r="G87" s="1573"/>
      <c r="H87" s="503"/>
      <c r="I87" s="62"/>
    </row>
    <row r="88" spans="1:9" ht="53.25" customHeight="1">
      <c r="A88" s="14"/>
      <c r="B88" s="1474"/>
      <c r="C88" s="1475"/>
      <c r="D88" s="1577"/>
      <c r="E88" s="1571" t="s">
        <v>364</v>
      </c>
      <c r="F88" s="1572"/>
      <c r="G88" s="1573"/>
      <c r="H88" s="503">
        <v>1.3</v>
      </c>
      <c r="I88" s="62">
        <f>H88*I$78</f>
        <v>4057.10734</v>
      </c>
    </row>
    <row r="89" spans="1:9" ht="45.75" customHeight="1">
      <c r="A89" s="14"/>
      <c r="B89" s="1574" t="s">
        <v>445</v>
      </c>
      <c r="C89" s="1575"/>
      <c r="D89" s="1576"/>
      <c r="E89" s="8"/>
      <c r="F89" s="60"/>
      <c r="G89" s="61"/>
      <c r="H89" s="503"/>
      <c r="I89" s="62"/>
    </row>
    <row r="90" spans="1:9" ht="25.5" customHeight="1">
      <c r="A90" s="14"/>
      <c r="B90" s="1563" t="s">
        <v>446</v>
      </c>
      <c r="C90" s="1564"/>
      <c r="D90" s="1565"/>
      <c r="E90" s="1571" t="s">
        <v>980</v>
      </c>
      <c r="F90" s="1572"/>
      <c r="G90" s="1573"/>
      <c r="H90" s="503">
        <v>0.2</v>
      </c>
      <c r="I90" s="62">
        <f>H90*I69</f>
        <v>1215.56908</v>
      </c>
    </row>
    <row r="91" spans="1:9" ht="25.5" customHeight="1">
      <c r="A91" s="14"/>
      <c r="B91" s="1520"/>
      <c r="C91" s="1521"/>
      <c r="D91" s="1522"/>
      <c r="E91" s="1571" t="s">
        <v>364</v>
      </c>
      <c r="F91" s="1572"/>
      <c r="G91" s="1573"/>
      <c r="H91" s="503">
        <v>0.3</v>
      </c>
      <c r="I91" s="62">
        <f>H91*I78</f>
        <v>936.25553999999988</v>
      </c>
    </row>
    <row r="92" spans="1:9" ht="25.5" hidden="1" customHeight="1">
      <c r="A92" s="14"/>
      <c r="B92" s="1474"/>
      <c r="C92" s="1475"/>
      <c r="D92" s="1577"/>
      <c r="E92" s="1571"/>
      <c r="F92" s="1572"/>
      <c r="G92" s="1573"/>
      <c r="H92" s="503"/>
      <c r="I92" s="62">
        <f>H92*I$78</f>
        <v>0</v>
      </c>
    </row>
    <row r="93" spans="1:9" s="59" customFormat="1">
      <c r="A93" s="14"/>
      <c r="B93" s="1563" t="s">
        <v>447</v>
      </c>
      <c r="C93" s="1564"/>
      <c r="D93" s="1565"/>
      <c r="E93" s="1571"/>
      <c r="F93" s="1572"/>
      <c r="G93" s="1573"/>
      <c r="H93" s="503"/>
      <c r="I93" s="62"/>
    </row>
    <row r="94" spans="1:9">
      <c r="A94" s="14"/>
      <c r="B94" s="1520"/>
      <c r="C94" s="1521"/>
      <c r="D94" s="1522"/>
      <c r="E94" s="1571" t="s">
        <v>980</v>
      </c>
      <c r="F94" s="1572"/>
      <c r="G94" s="1573"/>
      <c r="H94" s="503">
        <v>0.9</v>
      </c>
      <c r="I94" s="62">
        <f>H94*I$69</f>
        <v>5470.0608599999996</v>
      </c>
    </row>
    <row r="95" spans="1:9">
      <c r="A95" s="14"/>
      <c r="B95" s="1474"/>
      <c r="C95" s="1475"/>
      <c r="D95" s="1577"/>
      <c r="E95" s="1571" t="s">
        <v>364</v>
      </c>
      <c r="F95" s="1572"/>
      <c r="G95" s="1573"/>
      <c r="H95" s="503">
        <v>0.9</v>
      </c>
      <c r="I95" s="62">
        <f>H95*I$78</f>
        <v>2808.7666199999999</v>
      </c>
    </row>
    <row r="96" spans="1:9">
      <c r="A96" s="46"/>
      <c r="B96" s="47"/>
      <c r="C96" s="48"/>
      <c r="D96" s="48"/>
      <c r="E96" s="48"/>
      <c r="F96" s="64"/>
      <c r="G96" s="65"/>
      <c r="H96" s="227"/>
      <c r="I96" s="66"/>
    </row>
    <row r="97" spans="1:9" s="12" customFormat="1" ht="30" customHeight="1">
      <c r="A97" s="237" t="str">
        <f>L_CViec!A276</f>
        <v>V</v>
      </c>
      <c r="B97" s="1553" t="str">
        <f>L_CViec!B276</f>
        <v>Đăng ký, cấp đổi, cấp lại Giấy chứng nhận riêng lẻ đối với hộ gia đình, cá nhân, cộng đồng dân cư, người gốc Việt Nam định cư ở nước ngoài.</v>
      </c>
      <c r="C97" s="1554"/>
      <c r="D97" s="1554"/>
      <c r="E97" s="202"/>
      <c r="F97" s="233"/>
      <c r="G97" s="202"/>
      <c r="H97" s="225"/>
      <c r="I97" s="316" t="s">
        <v>458</v>
      </c>
    </row>
    <row r="98" spans="1:9" s="59" customFormat="1">
      <c r="A98" s="242">
        <v>1</v>
      </c>
      <c r="B98" s="204" t="s">
        <v>980</v>
      </c>
      <c r="C98" s="205"/>
      <c r="D98" s="205"/>
      <c r="E98" s="206"/>
      <c r="F98" s="56"/>
      <c r="G98" s="57"/>
      <c r="H98" s="502"/>
      <c r="I98" s="58">
        <f>SUM(I99:I104)</f>
        <v>16531.804800000002</v>
      </c>
    </row>
    <row r="99" spans="1:9">
      <c r="A99" s="243"/>
      <c r="B99" s="7" t="s">
        <v>410</v>
      </c>
      <c r="C99" s="8" t="s">
        <v>366</v>
      </c>
      <c r="D99" s="8">
        <v>0.4</v>
      </c>
      <c r="E99" s="8">
        <f>'Gia_Dcu-Tbi-Vlieu'!E$26</f>
        <v>5</v>
      </c>
      <c r="F99" s="60">
        <f>'Gia_Dcu-Tbi-Vlieu'!F$26</f>
        <v>33480000</v>
      </c>
      <c r="G99" s="61">
        <f>'Gia_Dcu-Tbi-Vlieu'!G$26</f>
        <v>13392</v>
      </c>
      <c r="H99" s="503">
        <v>1.02</v>
      </c>
      <c r="I99" s="62">
        <f t="shared" ref="I99:I105" si="8">G99*H99</f>
        <v>13659.84</v>
      </c>
    </row>
    <row r="100" spans="1:9">
      <c r="A100" s="244"/>
      <c r="B100" s="7" t="s">
        <v>383</v>
      </c>
      <c r="C100" s="8" t="s">
        <v>366</v>
      </c>
      <c r="D100" s="8">
        <v>0.6</v>
      </c>
      <c r="E100" s="8">
        <f>'Gia_Dcu-Tbi-Vlieu'!E$27</f>
        <v>10</v>
      </c>
      <c r="F100" s="60">
        <f>'Gia_Dcu-Tbi-Vlieu'!F$27</f>
        <v>9150000</v>
      </c>
      <c r="G100" s="61">
        <f>'Gia_Dcu-Tbi-Vlieu'!G$27</f>
        <v>1830</v>
      </c>
      <c r="H100" s="503">
        <v>1.7000000000000001E-2</v>
      </c>
      <c r="I100" s="62">
        <f t="shared" si="8"/>
        <v>31.110000000000003</v>
      </c>
    </row>
    <row r="101" spans="1:9">
      <c r="A101" s="244"/>
      <c r="B101" s="7" t="s">
        <v>385</v>
      </c>
      <c r="C101" s="8" t="s">
        <v>366</v>
      </c>
      <c r="D101" s="8">
        <v>0.6</v>
      </c>
      <c r="E101" s="8">
        <f>'Gia_Dcu-Tbi-Vlieu'!E$28</f>
        <v>10</v>
      </c>
      <c r="F101" s="60">
        <f>'Gia_Dcu-Tbi-Vlieu'!F$28</f>
        <v>25499000</v>
      </c>
      <c r="G101" s="61">
        <f>'Gia_Dcu-Tbi-Vlieu'!G$28</f>
        <v>5099.8</v>
      </c>
      <c r="H101" s="503">
        <v>0.03</v>
      </c>
      <c r="I101" s="62">
        <f t="shared" si="8"/>
        <v>152.994</v>
      </c>
    </row>
    <row r="102" spans="1:9">
      <c r="A102" s="244"/>
      <c r="B102" s="7" t="s">
        <v>386</v>
      </c>
      <c r="C102" s="8" t="s">
        <v>366</v>
      </c>
      <c r="D102" s="8">
        <v>0.6</v>
      </c>
      <c r="E102" s="8">
        <f>'Gia_Dcu-Tbi-Vlieu'!E$29</f>
        <v>10</v>
      </c>
      <c r="F102" s="60">
        <f>'Gia_Dcu-Tbi-Vlieu'!F$30</f>
        <v>25499000</v>
      </c>
      <c r="G102" s="61">
        <f>'Gia_Dcu-Tbi-Vlieu'!G$29</f>
        <v>34737.4</v>
      </c>
      <c r="H102" s="503">
        <v>0.03</v>
      </c>
      <c r="I102" s="62">
        <f t="shared" si="8"/>
        <v>1042.1220000000001</v>
      </c>
    </row>
    <row r="103" spans="1:9" s="6" customFormat="1">
      <c r="A103" s="244"/>
      <c r="B103" s="7" t="s">
        <v>411</v>
      </c>
      <c r="C103" s="8" t="s">
        <v>366</v>
      </c>
      <c r="D103" s="8">
        <v>2.2000000000000002</v>
      </c>
      <c r="E103" s="8">
        <f>'Gia_Dcu-Tbi-Vlieu'!E$30</f>
        <v>10</v>
      </c>
      <c r="F103" s="60">
        <f>'Gia_Dcu-Tbi-Vlieu'!F$31</f>
        <v>14200000</v>
      </c>
      <c r="G103" s="61">
        <f>'Gia_Dcu-Tbi-Vlieu'!G$30</f>
        <v>5099.8</v>
      </c>
      <c r="H103" s="503">
        <v>0.30599999999999999</v>
      </c>
      <c r="I103" s="62">
        <f t="shared" si="8"/>
        <v>1560.5388</v>
      </c>
    </row>
    <row r="104" spans="1:9" s="59" customFormat="1">
      <c r="A104" s="244"/>
      <c r="B104" s="7" t="s">
        <v>44</v>
      </c>
      <c r="C104" s="8" t="s">
        <v>366</v>
      </c>
      <c r="D104" s="8">
        <v>1.5</v>
      </c>
      <c r="E104" s="8">
        <f>'Gia_Dcu-Tbi-Vlieu'!E$31</f>
        <v>10</v>
      </c>
      <c r="F104" s="60">
        <f>'Gia_Dcu-Tbi-Vlieu'!F$32</f>
        <v>39400000</v>
      </c>
      <c r="G104" s="61">
        <f>'Gia_Dcu-Tbi-Vlieu'!G$31</f>
        <v>2840</v>
      </c>
      <c r="H104" s="503">
        <v>0.03</v>
      </c>
      <c r="I104" s="62">
        <f t="shared" si="8"/>
        <v>85.2</v>
      </c>
    </row>
    <row r="105" spans="1:9" s="59" customFormat="1">
      <c r="A105" s="255"/>
      <c r="B105" s="256" t="s">
        <v>18</v>
      </c>
      <c r="C105" s="257" t="s">
        <v>381</v>
      </c>
      <c r="D105" s="257"/>
      <c r="E105" s="258">
        <f>'Gia_Dcu-Tbi-Vlieu'!E$35</f>
        <v>1</v>
      </c>
      <c r="F105" s="56">
        <f>'Gia_Dcu-Tbi-Vlieu'!F$35</f>
        <v>2204.0655000000002</v>
      </c>
      <c r="G105" s="57">
        <f>'Gia_Dcu-Tbi-Vlieu'!G$35</f>
        <v>2204.0655000000002</v>
      </c>
      <c r="H105" s="503">
        <v>9.3770000000000007</v>
      </c>
      <c r="I105" s="58">
        <f t="shared" si="8"/>
        <v>20667.522193500005</v>
      </c>
    </row>
    <row r="106" spans="1:9" s="59" customFormat="1">
      <c r="A106" s="242">
        <v>2</v>
      </c>
      <c r="B106" s="204" t="s">
        <v>364</v>
      </c>
      <c r="C106" s="205"/>
      <c r="D106" s="205"/>
      <c r="E106" s="206"/>
      <c r="F106" s="56"/>
      <c r="G106" s="57"/>
      <c r="H106" s="502"/>
      <c r="I106" s="58"/>
    </row>
    <row r="107" spans="1:9">
      <c r="A107" s="245"/>
      <c r="B107" s="44" t="s">
        <v>332</v>
      </c>
      <c r="C107" s="19"/>
      <c r="D107" s="19"/>
      <c r="E107" s="19"/>
      <c r="F107" s="70"/>
      <c r="G107" s="71"/>
      <c r="H107" s="505"/>
      <c r="I107" s="203"/>
    </row>
    <row r="108" spans="1:9">
      <c r="A108" s="14"/>
      <c r="B108" s="7" t="s">
        <v>459</v>
      </c>
      <c r="C108" s="8"/>
      <c r="D108" s="8"/>
      <c r="E108" s="8"/>
      <c r="F108" s="60"/>
      <c r="G108" s="61"/>
      <c r="H108" s="503"/>
      <c r="I108" s="62"/>
    </row>
    <row r="109" spans="1:9" ht="48" customHeight="1">
      <c r="A109" s="14"/>
      <c r="B109" s="1477" t="s">
        <v>460</v>
      </c>
      <c r="C109" s="1478"/>
      <c r="D109" s="1536"/>
      <c r="E109" s="1578" t="s">
        <v>980</v>
      </c>
      <c r="F109" s="1579"/>
      <c r="G109" s="1580"/>
      <c r="H109" s="503">
        <v>1.3</v>
      </c>
      <c r="I109" s="62">
        <f>H109*I98</f>
        <v>21491.346240000003</v>
      </c>
    </row>
    <row r="110" spans="1:9">
      <c r="A110" s="46"/>
      <c r="B110" s="47"/>
      <c r="C110" s="48"/>
      <c r="D110" s="48"/>
      <c r="E110" s="48"/>
      <c r="F110" s="64"/>
      <c r="G110" s="65"/>
      <c r="H110" s="227"/>
      <c r="I110" s="66"/>
    </row>
    <row r="111" spans="1:9" s="12" customFormat="1" ht="30" customHeight="1">
      <c r="A111" s="236" t="str">
        <f>L_CViec!A334</f>
        <v>VI</v>
      </c>
      <c r="B111" s="1553" t="str">
        <f>L_CViec!B334</f>
        <v>Đăng ký, cấp đổi, cấp lại Giấy chứng nhận riêng lẻ đối với tổ chức, tổ chức tôn giáo, tổ chức tôn giáo trực thuộc, tổ chức nước ngoài có chức năng ngoại giao, tổ chức kinh tế có vốn đầu tư nước ngoài, tổ chức nước ngoài, cá nhân nước ngoài</v>
      </c>
      <c r="C111" s="1554"/>
      <c r="D111" s="1554"/>
      <c r="E111" s="233"/>
      <c r="F111" s="202"/>
      <c r="G111" s="202"/>
      <c r="H111" s="225"/>
      <c r="I111" s="316" t="s">
        <v>463</v>
      </c>
    </row>
    <row r="112" spans="1:9">
      <c r="A112" s="242">
        <v>1</v>
      </c>
      <c r="B112" s="204" t="s">
        <v>364</v>
      </c>
      <c r="C112" s="205"/>
      <c r="D112" s="205"/>
      <c r="E112" s="206"/>
      <c r="F112" s="56"/>
      <c r="G112" s="57"/>
      <c r="H112" s="502"/>
      <c r="I112" s="58">
        <f>SUM(I113:I118)</f>
        <v>22041.186399999999</v>
      </c>
    </row>
    <row r="113" spans="1:9">
      <c r="A113" s="243"/>
      <c r="B113" s="7" t="s">
        <v>410</v>
      </c>
      <c r="C113" s="8" t="s">
        <v>366</v>
      </c>
      <c r="D113" s="8">
        <v>0.4</v>
      </c>
      <c r="E113" s="8">
        <f>'Gia_Dcu-Tbi-Vlieu'!E$26</f>
        <v>5</v>
      </c>
      <c r="F113" s="60">
        <f>'Gia_Dcu-Tbi-Vlieu'!F$26</f>
        <v>33480000</v>
      </c>
      <c r="G113" s="61">
        <f>'Gia_Dcu-Tbi-Vlieu'!G$26</f>
        <v>13392</v>
      </c>
      <c r="H113" s="503">
        <v>1.36</v>
      </c>
      <c r="I113" s="62">
        <f t="shared" ref="I113:I119" si="9">G113*H113</f>
        <v>18213.120000000003</v>
      </c>
    </row>
    <row r="114" spans="1:9">
      <c r="A114" s="244"/>
      <c r="B114" s="7" t="s">
        <v>383</v>
      </c>
      <c r="C114" s="8" t="s">
        <v>366</v>
      </c>
      <c r="D114" s="8">
        <v>0.6</v>
      </c>
      <c r="E114" s="8">
        <f>'Gia_Dcu-Tbi-Vlieu'!E$27</f>
        <v>10</v>
      </c>
      <c r="F114" s="60">
        <f>'Gia_Dcu-Tbi-Vlieu'!F$27</f>
        <v>9150000</v>
      </c>
      <c r="G114" s="61">
        <f>'Gia_Dcu-Tbi-Vlieu'!G$27</f>
        <v>1830</v>
      </c>
      <c r="H114" s="503">
        <v>2.1999999999999999E-2</v>
      </c>
      <c r="I114" s="62">
        <f t="shared" si="9"/>
        <v>40.26</v>
      </c>
    </row>
    <row r="115" spans="1:9">
      <c r="A115" s="244"/>
      <c r="B115" s="7" t="s">
        <v>385</v>
      </c>
      <c r="C115" s="8" t="s">
        <v>366</v>
      </c>
      <c r="D115" s="8">
        <v>0.6</v>
      </c>
      <c r="E115" s="8">
        <f>'Gia_Dcu-Tbi-Vlieu'!E$28</f>
        <v>10</v>
      </c>
      <c r="F115" s="60">
        <f>'Gia_Dcu-Tbi-Vlieu'!F$28</f>
        <v>25499000</v>
      </c>
      <c r="G115" s="61">
        <f>'Gia_Dcu-Tbi-Vlieu'!G$28</f>
        <v>5099.8</v>
      </c>
      <c r="H115" s="503">
        <v>0.04</v>
      </c>
      <c r="I115" s="62">
        <f t="shared" si="9"/>
        <v>203.99200000000002</v>
      </c>
    </row>
    <row r="116" spans="1:9">
      <c r="A116" s="244"/>
      <c r="B116" s="7" t="s">
        <v>386</v>
      </c>
      <c r="C116" s="8" t="s">
        <v>366</v>
      </c>
      <c r="D116" s="8">
        <v>0.6</v>
      </c>
      <c r="E116" s="8">
        <f>'Gia_Dcu-Tbi-Vlieu'!E$29</f>
        <v>10</v>
      </c>
      <c r="F116" s="60">
        <f>'Gia_Dcu-Tbi-Vlieu'!F$30</f>
        <v>25499000</v>
      </c>
      <c r="G116" s="61">
        <f>'Gia_Dcu-Tbi-Vlieu'!G$29</f>
        <v>34737.4</v>
      </c>
      <c r="H116" s="503">
        <v>0.04</v>
      </c>
      <c r="I116" s="62">
        <f t="shared" si="9"/>
        <v>1389.4960000000001</v>
      </c>
    </row>
    <row r="117" spans="1:9">
      <c r="A117" s="244"/>
      <c r="B117" s="7" t="s">
        <v>411</v>
      </c>
      <c r="C117" s="8" t="s">
        <v>366</v>
      </c>
      <c r="D117" s="8">
        <v>2.2000000000000002</v>
      </c>
      <c r="E117" s="8">
        <f>'Gia_Dcu-Tbi-Vlieu'!E$30</f>
        <v>10</v>
      </c>
      <c r="F117" s="60">
        <f>'Gia_Dcu-Tbi-Vlieu'!F$31</f>
        <v>14200000</v>
      </c>
      <c r="G117" s="61">
        <f>'Gia_Dcu-Tbi-Vlieu'!G$30</f>
        <v>5099.8</v>
      </c>
      <c r="H117" s="503">
        <v>0.40799999999999997</v>
      </c>
      <c r="I117" s="62">
        <f t="shared" si="9"/>
        <v>2080.7183999999997</v>
      </c>
    </row>
    <row r="118" spans="1:9">
      <c r="A118" s="244"/>
      <c r="B118" s="7" t="s">
        <v>44</v>
      </c>
      <c r="C118" s="8" t="s">
        <v>366</v>
      </c>
      <c r="D118" s="8">
        <v>1.5</v>
      </c>
      <c r="E118" s="8">
        <f>'Gia_Dcu-Tbi-Vlieu'!E$31</f>
        <v>10</v>
      </c>
      <c r="F118" s="60">
        <f>'Gia_Dcu-Tbi-Vlieu'!F$32</f>
        <v>39400000</v>
      </c>
      <c r="G118" s="61">
        <f>'Gia_Dcu-Tbi-Vlieu'!G$31</f>
        <v>2840</v>
      </c>
      <c r="H118" s="503">
        <v>0.04</v>
      </c>
      <c r="I118" s="62">
        <f t="shared" si="9"/>
        <v>113.60000000000001</v>
      </c>
    </row>
    <row r="119" spans="1:9" s="59" customFormat="1">
      <c r="A119" s="255"/>
      <c r="B119" s="256" t="s">
        <v>18</v>
      </c>
      <c r="C119" s="257" t="s">
        <v>381</v>
      </c>
      <c r="D119" s="257"/>
      <c r="E119" s="258">
        <f>'Gia_Dcu-Tbi-Vlieu'!E$35</f>
        <v>1</v>
      </c>
      <c r="F119" s="56">
        <f>'Gia_Dcu-Tbi-Vlieu'!F$35</f>
        <v>2204.0655000000002</v>
      </c>
      <c r="G119" s="57">
        <f>'Gia_Dcu-Tbi-Vlieu'!G$35</f>
        <v>2204.0655000000002</v>
      </c>
      <c r="H119" s="502">
        <v>12.502000000000001</v>
      </c>
      <c r="I119" s="58">
        <f t="shared" si="9"/>
        <v>27555.226881000002</v>
      </c>
    </row>
    <row r="120" spans="1:9">
      <c r="A120" s="245"/>
      <c r="B120" s="44" t="s">
        <v>332</v>
      </c>
      <c r="C120" s="19"/>
      <c r="D120" s="19"/>
      <c r="E120" s="19"/>
      <c r="F120" s="70"/>
      <c r="G120" s="71"/>
      <c r="H120" s="505"/>
      <c r="I120" s="203"/>
    </row>
    <row r="121" spans="1:9">
      <c r="A121" s="14"/>
      <c r="B121" s="7" t="s">
        <v>459</v>
      </c>
      <c r="C121" s="8"/>
      <c r="D121" s="8"/>
      <c r="E121" s="8"/>
      <c r="F121" s="60"/>
      <c r="G121" s="61"/>
      <c r="H121" s="503"/>
      <c r="I121" s="62"/>
    </row>
    <row r="122" spans="1:9" ht="53.25" customHeight="1">
      <c r="A122" s="14"/>
      <c r="B122" s="1477" t="s">
        <v>464</v>
      </c>
      <c r="C122" s="1478"/>
      <c r="D122" s="1536"/>
      <c r="E122" s="8"/>
      <c r="F122" s="60"/>
      <c r="G122" s="61"/>
      <c r="H122" s="503">
        <v>1.3</v>
      </c>
      <c r="I122" s="62">
        <f>H122*I112</f>
        <v>28653.54232</v>
      </c>
    </row>
    <row r="123" spans="1:9">
      <c r="A123" s="46"/>
      <c r="B123" s="47"/>
      <c r="C123" s="48"/>
      <c r="D123" s="48"/>
      <c r="E123" s="48"/>
      <c r="F123" s="64"/>
      <c r="G123" s="65"/>
      <c r="H123" s="227"/>
      <c r="I123" s="66"/>
    </row>
    <row r="124" spans="1:9" s="12" customFormat="1" ht="30" customHeight="1">
      <c r="A124" s="236" t="str">
        <f>L_CViec!A384</f>
        <v>VII</v>
      </c>
      <c r="B124" s="1553" t="str">
        <f>L_CViec!B384</f>
        <v>Đăng ký biến động đất đai đối với hộ gia đình, cá nhân, cộng đồng dân cư, người gốc Việt Nam định cư ở nước ngoài</v>
      </c>
      <c r="C124" s="1554"/>
      <c r="D124" s="1554"/>
      <c r="E124" s="202"/>
      <c r="F124" s="233"/>
      <c r="G124" s="202"/>
      <c r="H124" s="225"/>
      <c r="I124" s="316" t="s">
        <v>469</v>
      </c>
    </row>
    <row r="125" spans="1:9">
      <c r="A125" s="242">
        <v>1</v>
      </c>
      <c r="B125" s="204" t="s">
        <v>980</v>
      </c>
      <c r="C125" s="205"/>
      <c r="D125" s="205"/>
      <c r="E125" s="206"/>
      <c r="F125" s="56"/>
      <c r="G125" s="57"/>
      <c r="H125" s="502"/>
      <c r="I125" s="58">
        <f>SUM(I126:I131)</f>
        <v>13908.5008</v>
      </c>
    </row>
    <row r="126" spans="1:9" s="59" customFormat="1">
      <c r="A126" s="243"/>
      <c r="B126" s="7" t="s">
        <v>410</v>
      </c>
      <c r="C126" s="8" t="s">
        <v>366</v>
      </c>
      <c r="D126" s="8">
        <v>0.4</v>
      </c>
      <c r="E126" s="8">
        <f>'Gia_Dcu-Tbi-Vlieu'!E$26</f>
        <v>5</v>
      </c>
      <c r="F126" s="60">
        <f>'Gia_Dcu-Tbi-Vlieu'!F$26</f>
        <v>33480000</v>
      </c>
      <c r="G126" s="61">
        <f>'Gia_Dcu-Tbi-Vlieu'!G$26</f>
        <v>13392</v>
      </c>
      <c r="H126" s="503">
        <v>0.9</v>
      </c>
      <c r="I126" s="62">
        <f t="shared" ref="I126:I131" si="10">G126*H126</f>
        <v>12052.800000000001</v>
      </c>
    </row>
    <row r="127" spans="1:9">
      <c r="A127" s="244"/>
      <c r="B127" s="7" t="s">
        <v>383</v>
      </c>
      <c r="C127" s="8" t="s">
        <v>366</v>
      </c>
      <c r="D127" s="8">
        <v>0.6</v>
      </c>
      <c r="E127" s="8">
        <f>'Gia_Dcu-Tbi-Vlieu'!E$27</f>
        <v>10</v>
      </c>
      <c r="F127" s="60">
        <f>'Gia_Dcu-Tbi-Vlieu'!F$27</f>
        <v>9150000</v>
      </c>
      <c r="G127" s="61">
        <f>'Gia_Dcu-Tbi-Vlieu'!G$27</f>
        <v>1830</v>
      </c>
      <c r="H127" s="503">
        <v>0.03</v>
      </c>
      <c r="I127" s="62">
        <f t="shared" si="10"/>
        <v>54.9</v>
      </c>
    </row>
    <row r="128" spans="1:9">
      <c r="A128" s="244"/>
      <c r="B128" s="7" t="s">
        <v>385</v>
      </c>
      <c r="C128" s="8" t="s">
        <v>366</v>
      </c>
      <c r="D128" s="8">
        <v>0.6</v>
      </c>
      <c r="E128" s="8">
        <f>'Gia_Dcu-Tbi-Vlieu'!E$28</f>
        <v>10</v>
      </c>
      <c r="F128" s="60">
        <f>'Gia_Dcu-Tbi-Vlieu'!F$28</f>
        <v>25499000</v>
      </c>
      <c r="G128" s="61">
        <f>'Gia_Dcu-Tbi-Vlieu'!G$28</f>
        <v>5099.8</v>
      </c>
      <c r="H128" s="503">
        <v>8.9999999999999993E-3</v>
      </c>
      <c r="I128" s="62">
        <f t="shared" si="10"/>
        <v>45.898199999999996</v>
      </c>
    </row>
    <row r="129" spans="1:9">
      <c r="A129" s="244"/>
      <c r="B129" s="7" t="s">
        <v>386</v>
      </c>
      <c r="C129" s="8" t="s">
        <v>366</v>
      </c>
      <c r="D129" s="8">
        <v>0.6</v>
      </c>
      <c r="E129" s="8">
        <f>'Gia_Dcu-Tbi-Vlieu'!E$29</f>
        <v>10</v>
      </c>
      <c r="F129" s="60">
        <f>'Gia_Dcu-Tbi-Vlieu'!F$30</f>
        <v>25499000</v>
      </c>
      <c r="G129" s="61">
        <f>'Gia_Dcu-Tbi-Vlieu'!G$29</f>
        <v>34737.4</v>
      </c>
      <c r="H129" s="503">
        <v>8.9999999999999993E-3</v>
      </c>
      <c r="I129" s="62">
        <f t="shared" si="10"/>
        <v>312.63659999999999</v>
      </c>
    </row>
    <row r="130" spans="1:9">
      <c r="A130" s="244"/>
      <c r="B130" s="7" t="s">
        <v>411</v>
      </c>
      <c r="C130" s="8" t="s">
        <v>366</v>
      </c>
      <c r="D130" s="8">
        <v>2.2000000000000002</v>
      </c>
      <c r="E130" s="8">
        <f>'Gia_Dcu-Tbi-Vlieu'!E$30</f>
        <v>10</v>
      </c>
      <c r="F130" s="60">
        <f>'Gia_Dcu-Tbi-Vlieu'!F$31</f>
        <v>14200000</v>
      </c>
      <c r="G130" s="61">
        <f>'Gia_Dcu-Tbi-Vlieu'!G$30</f>
        <v>5099.8</v>
      </c>
      <c r="H130" s="503">
        <v>0.27</v>
      </c>
      <c r="I130" s="62">
        <f t="shared" si="10"/>
        <v>1376.9460000000001</v>
      </c>
    </row>
    <row r="131" spans="1:9" s="6" customFormat="1">
      <c r="A131" s="244"/>
      <c r="B131" s="7" t="s">
        <v>44</v>
      </c>
      <c r="C131" s="8" t="s">
        <v>366</v>
      </c>
      <c r="D131" s="8">
        <v>1.5</v>
      </c>
      <c r="E131" s="8">
        <f>'Gia_Dcu-Tbi-Vlieu'!E$31</f>
        <v>10</v>
      </c>
      <c r="F131" s="60">
        <f>'Gia_Dcu-Tbi-Vlieu'!F$32</f>
        <v>39400000</v>
      </c>
      <c r="G131" s="61">
        <f>'Gia_Dcu-Tbi-Vlieu'!G$31</f>
        <v>2840</v>
      </c>
      <c r="H131" s="503">
        <v>2.3E-2</v>
      </c>
      <c r="I131" s="62">
        <f t="shared" si="10"/>
        <v>65.319999999999993</v>
      </c>
    </row>
    <row r="132" spans="1:9" s="59" customFormat="1">
      <c r="A132" s="255"/>
      <c r="B132" s="256" t="s">
        <v>18</v>
      </c>
      <c r="C132" s="257" t="s">
        <v>381</v>
      </c>
      <c r="D132" s="257"/>
      <c r="E132" s="258">
        <f>'Gia_Dcu-Tbi-Vlieu'!E$35</f>
        <v>1</v>
      </c>
      <c r="F132" s="56">
        <f>'Gia_Dcu-Tbi-Vlieu'!F$35</f>
        <v>2204.0655000000002</v>
      </c>
      <c r="G132" s="57">
        <f>'Gia_Dcu-Tbi-Vlieu'!G$35</f>
        <v>2204.0655000000002</v>
      </c>
      <c r="H132" s="503">
        <v>8.1389999999999993</v>
      </c>
      <c r="I132" s="58">
        <f>G132*H132</f>
        <v>17938.889104499998</v>
      </c>
    </row>
    <row r="133" spans="1:9" s="6" customFormat="1">
      <c r="A133" s="239"/>
      <c r="B133" s="11" t="s">
        <v>332</v>
      </c>
      <c r="C133" s="10"/>
      <c r="D133" s="10"/>
      <c r="E133" s="10"/>
      <c r="F133" s="67"/>
      <c r="G133" s="68"/>
      <c r="H133" s="507"/>
      <c r="I133" s="69"/>
    </row>
    <row r="134" spans="1:9">
      <c r="A134" s="14"/>
      <c r="B134" s="1574" t="s">
        <v>459</v>
      </c>
      <c r="C134" s="1575"/>
      <c r="D134" s="1576"/>
      <c r="E134" s="8"/>
      <c r="F134" s="60"/>
      <c r="G134" s="61"/>
      <c r="H134" s="503"/>
      <c r="I134" s="62"/>
    </row>
    <row r="135" spans="1:9" ht="30.75" customHeight="1">
      <c r="A135" s="247"/>
      <c r="B135" s="1563" t="s">
        <v>470</v>
      </c>
      <c r="C135" s="1564"/>
      <c r="D135" s="1565"/>
      <c r="E135" s="1566"/>
      <c r="F135" s="1567"/>
      <c r="G135" s="1567"/>
      <c r="H135" s="248"/>
      <c r="I135" s="62"/>
    </row>
    <row r="136" spans="1:9">
      <c r="A136" s="247"/>
      <c r="B136" s="1520"/>
      <c r="C136" s="1521"/>
      <c r="D136" s="1522"/>
      <c r="E136" s="1571"/>
      <c r="F136" s="1572"/>
      <c r="G136" s="1573"/>
      <c r="H136" s="503"/>
      <c r="I136" s="62"/>
    </row>
    <row r="137" spans="1:9">
      <c r="A137" s="247"/>
      <c r="B137" s="1520"/>
      <c r="C137" s="1521"/>
      <c r="D137" s="1522"/>
      <c r="E137" s="1571"/>
      <c r="F137" s="1572"/>
      <c r="G137" s="1573"/>
      <c r="H137" s="503"/>
      <c r="I137" s="62"/>
    </row>
    <row r="138" spans="1:9" ht="31.5" customHeight="1">
      <c r="A138" s="247"/>
      <c r="B138" s="1520"/>
      <c r="C138" s="1521"/>
      <c r="D138" s="1522"/>
      <c r="E138" s="1566"/>
      <c r="F138" s="1567"/>
      <c r="G138" s="1567"/>
      <c r="H138" s="248"/>
      <c r="I138" s="62"/>
    </row>
    <row r="139" spans="1:9">
      <c r="A139" s="247"/>
      <c r="B139" s="1520"/>
      <c r="C139" s="1521"/>
      <c r="D139" s="1522"/>
      <c r="E139" s="1571"/>
      <c r="F139" s="1572"/>
      <c r="G139" s="1573"/>
      <c r="H139" s="503"/>
      <c r="I139" s="62"/>
    </row>
    <row r="140" spans="1:9">
      <c r="A140" s="247"/>
      <c r="B140" s="1474"/>
      <c r="C140" s="1475"/>
      <c r="D140" s="1577"/>
      <c r="E140" s="1571" t="s">
        <v>980</v>
      </c>
      <c r="F140" s="1572"/>
      <c r="G140" s="1573"/>
      <c r="H140" s="503">
        <v>1.3</v>
      </c>
      <c r="I140" s="62">
        <f>H140*I$125</f>
        <v>18081.051040000002</v>
      </c>
    </row>
    <row r="141" spans="1:9" ht="30.75" customHeight="1">
      <c r="A141" s="247"/>
      <c r="B141" s="1563" t="s">
        <v>471</v>
      </c>
      <c r="C141" s="1564"/>
      <c r="D141" s="1565"/>
      <c r="E141" s="1566"/>
      <c r="F141" s="1567"/>
      <c r="G141" s="1567"/>
      <c r="H141" s="248"/>
      <c r="I141" s="62"/>
    </row>
    <row r="142" spans="1:9">
      <c r="A142" s="14"/>
      <c r="B142" s="1520"/>
      <c r="C142" s="1521"/>
      <c r="D142" s="1522"/>
      <c r="E142" s="1571"/>
      <c r="F142" s="1572"/>
      <c r="G142" s="1573"/>
      <c r="H142" s="503"/>
      <c r="I142" s="62"/>
    </row>
    <row r="143" spans="1:9">
      <c r="A143" s="14"/>
      <c r="B143" s="1520"/>
      <c r="C143" s="1521"/>
      <c r="D143" s="1522"/>
      <c r="E143" s="1571"/>
      <c r="F143" s="1572"/>
      <c r="G143" s="1573"/>
      <c r="H143" s="503"/>
      <c r="I143" s="62"/>
    </row>
    <row r="144" spans="1:9" ht="32.25" customHeight="1">
      <c r="A144" s="14"/>
      <c r="B144" s="1520"/>
      <c r="C144" s="1521"/>
      <c r="D144" s="1522"/>
      <c r="E144" s="1566"/>
      <c r="F144" s="1567"/>
      <c r="G144" s="1567"/>
      <c r="H144" s="248"/>
      <c r="I144" s="62"/>
    </row>
    <row r="145" spans="1:9">
      <c r="A145" s="14"/>
      <c r="B145" s="1520"/>
      <c r="C145" s="1521"/>
      <c r="D145" s="1522"/>
      <c r="E145" s="1571"/>
      <c r="F145" s="1572"/>
      <c r="G145" s="1573"/>
      <c r="H145" s="503"/>
      <c r="I145" s="62"/>
    </row>
    <row r="146" spans="1:9">
      <c r="A146" s="14"/>
      <c r="B146" s="1474"/>
      <c r="C146" s="1475"/>
      <c r="D146" s="1577"/>
      <c r="E146" s="1571" t="s">
        <v>980</v>
      </c>
      <c r="F146" s="1572"/>
      <c r="G146" s="1573"/>
      <c r="H146" s="503">
        <v>0.6</v>
      </c>
      <c r="I146" s="62">
        <f>H146*I$125</f>
        <v>8345.1004799999992</v>
      </c>
    </row>
    <row r="147" spans="1:9">
      <c r="A147" s="46"/>
      <c r="B147" s="47"/>
      <c r="C147" s="48"/>
      <c r="D147" s="48"/>
      <c r="E147" s="48"/>
      <c r="F147" s="64"/>
      <c r="G147" s="65"/>
      <c r="H147" s="227"/>
      <c r="I147" s="66"/>
    </row>
    <row r="148" spans="1:9" s="12" customFormat="1" ht="30" customHeight="1">
      <c r="A148" s="236" t="str">
        <f>L_CViec!A438</f>
        <v>VIII</v>
      </c>
      <c r="B148" s="1553" t="str">
        <f>L_CViec!B438</f>
        <v xml:space="preserve">Đăng ký biến động đất đai đối với tổ chức, tổ chức tôn giáo, tổ chức tôn giáo trực thuộc, tổ chức nước ngoài có chức năng ngoại giao, tổ chức kinh tế có vốn đầu tư nước ngoài, tổ chức nước ngoài, cá nhân nước ngoài </v>
      </c>
      <c r="C148" s="1554"/>
      <c r="D148" s="1554"/>
      <c r="E148" s="233"/>
      <c r="F148" s="202"/>
      <c r="G148" s="202"/>
      <c r="H148" s="225"/>
      <c r="I148" s="316" t="s">
        <v>475</v>
      </c>
    </row>
    <row r="149" spans="1:9">
      <c r="A149" s="242">
        <v>1</v>
      </c>
      <c r="B149" s="204" t="s">
        <v>364</v>
      </c>
      <c r="C149" s="205"/>
      <c r="D149" s="205"/>
      <c r="E149" s="206"/>
      <c r="F149" s="56"/>
      <c r="G149" s="57"/>
      <c r="H149" s="502"/>
      <c r="I149" s="58">
        <f>SUM(I150:I155)</f>
        <v>20820.4728</v>
      </c>
    </row>
    <row r="150" spans="1:9">
      <c r="A150" s="243"/>
      <c r="B150" s="7" t="s">
        <v>410</v>
      </c>
      <c r="C150" s="8" t="s">
        <v>366</v>
      </c>
      <c r="D150" s="8">
        <v>0.4</v>
      </c>
      <c r="E150" s="8">
        <f>'Gia_Dcu-Tbi-Vlieu'!E$26</f>
        <v>5</v>
      </c>
      <c r="F150" s="60">
        <f>'Gia_Dcu-Tbi-Vlieu'!F$26</f>
        <v>33480000</v>
      </c>
      <c r="G150" s="61">
        <f>'Gia_Dcu-Tbi-Vlieu'!G$26</f>
        <v>13392</v>
      </c>
      <c r="H150" s="503">
        <v>1.365</v>
      </c>
      <c r="I150" s="62">
        <f t="shared" ref="I150:I156" si="11">G150*H150</f>
        <v>18280.079999999998</v>
      </c>
    </row>
    <row r="151" spans="1:9">
      <c r="A151" s="244"/>
      <c r="B151" s="7" t="s">
        <v>383</v>
      </c>
      <c r="C151" s="8" t="s">
        <v>366</v>
      </c>
      <c r="D151" s="8">
        <v>0.6</v>
      </c>
      <c r="E151" s="8">
        <f>'Gia_Dcu-Tbi-Vlieu'!E$27</f>
        <v>10</v>
      </c>
      <c r="F151" s="60">
        <f>'Gia_Dcu-Tbi-Vlieu'!F$27</f>
        <v>9150000</v>
      </c>
      <c r="G151" s="61">
        <f>'Gia_Dcu-Tbi-Vlieu'!G$27</f>
        <v>1830</v>
      </c>
      <c r="H151" s="503">
        <v>1.4E-2</v>
      </c>
      <c r="I151" s="62">
        <f t="shared" si="11"/>
        <v>25.62</v>
      </c>
    </row>
    <row r="152" spans="1:9">
      <c r="A152" s="244"/>
      <c r="B152" s="7" t="s">
        <v>385</v>
      </c>
      <c r="C152" s="8" t="s">
        <v>366</v>
      </c>
      <c r="D152" s="8">
        <v>0.6</v>
      </c>
      <c r="E152" s="8">
        <f>'Gia_Dcu-Tbi-Vlieu'!E$28</f>
        <v>10</v>
      </c>
      <c r="F152" s="60">
        <f>'Gia_Dcu-Tbi-Vlieu'!F$28</f>
        <v>25499000</v>
      </c>
      <c r="G152" s="61">
        <f>'Gia_Dcu-Tbi-Vlieu'!G$28</f>
        <v>5099.8</v>
      </c>
      <c r="H152" s="503">
        <v>8.9999999999999993E-3</v>
      </c>
      <c r="I152" s="62">
        <f t="shared" si="11"/>
        <v>45.898199999999996</v>
      </c>
    </row>
    <row r="153" spans="1:9">
      <c r="A153" s="244"/>
      <c r="B153" s="7" t="s">
        <v>386</v>
      </c>
      <c r="C153" s="8" t="s">
        <v>366</v>
      </c>
      <c r="D153" s="8">
        <v>0.6</v>
      </c>
      <c r="E153" s="8">
        <f>'Gia_Dcu-Tbi-Vlieu'!E$29</f>
        <v>10</v>
      </c>
      <c r="F153" s="60">
        <f>'Gia_Dcu-Tbi-Vlieu'!F$30</f>
        <v>25499000</v>
      </c>
      <c r="G153" s="61">
        <f>'Gia_Dcu-Tbi-Vlieu'!G$29</f>
        <v>34737.4</v>
      </c>
      <c r="H153" s="503">
        <v>8.9999999999999993E-3</v>
      </c>
      <c r="I153" s="62">
        <f t="shared" si="11"/>
        <v>312.63659999999999</v>
      </c>
    </row>
    <row r="154" spans="1:9">
      <c r="A154" s="244"/>
      <c r="B154" s="7" t="s">
        <v>411</v>
      </c>
      <c r="C154" s="8" t="s">
        <v>366</v>
      </c>
      <c r="D154" s="8">
        <v>2.2000000000000002</v>
      </c>
      <c r="E154" s="8">
        <f>'Gia_Dcu-Tbi-Vlieu'!E$30</f>
        <v>10</v>
      </c>
      <c r="F154" s="60">
        <f>'Gia_Dcu-Tbi-Vlieu'!F$31</f>
        <v>14200000</v>
      </c>
      <c r="G154" s="61">
        <f>'Gia_Dcu-Tbi-Vlieu'!G$30</f>
        <v>5099.8</v>
      </c>
      <c r="H154" s="503">
        <v>0.41</v>
      </c>
      <c r="I154" s="62">
        <f t="shared" si="11"/>
        <v>2090.9180000000001</v>
      </c>
    </row>
    <row r="155" spans="1:9">
      <c r="A155" s="244"/>
      <c r="B155" s="7" t="s">
        <v>44</v>
      </c>
      <c r="C155" s="8" t="s">
        <v>366</v>
      </c>
      <c r="D155" s="8">
        <v>1.5</v>
      </c>
      <c r="E155" s="8">
        <f>'Gia_Dcu-Tbi-Vlieu'!E$31</f>
        <v>10</v>
      </c>
      <c r="F155" s="60">
        <f>'Gia_Dcu-Tbi-Vlieu'!F$32</f>
        <v>39400000</v>
      </c>
      <c r="G155" s="61">
        <f>'Gia_Dcu-Tbi-Vlieu'!G$31</f>
        <v>2840</v>
      </c>
      <c r="H155" s="503">
        <v>2.3E-2</v>
      </c>
      <c r="I155" s="62">
        <f t="shared" si="11"/>
        <v>65.319999999999993</v>
      </c>
    </row>
    <row r="156" spans="1:9" s="59" customFormat="1">
      <c r="A156" s="255"/>
      <c r="B156" s="256" t="s">
        <v>18</v>
      </c>
      <c r="C156" s="257" t="s">
        <v>381</v>
      </c>
      <c r="D156" s="257"/>
      <c r="E156" s="258">
        <f>'Gia_Dcu-Tbi-Vlieu'!E$35</f>
        <v>1</v>
      </c>
      <c r="F156" s="56">
        <f>'Gia_Dcu-Tbi-Vlieu'!F$35</f>
        <v>2204.0655000000002</v>
      </c>
      <c r="G156" s="57">
        <f>'Gia_Dcu-Tbi-Vlieu'!G$35</f>
        <v>2204.0655000000002</v>
      </c>
      <c r="H156" s="503">
        <v>11.997</v>
      </c>
      <c r="I156" s="58">
        <f t="shared" si="11"/>
        <v>26442.173803500002</v>
      </c>
    </row>
    <row r="157" spans="1:9">
      <c r="A157" s="245"/>
      <c r="B157" s="44" t="s">
        <v>332</v>
      </c>
      <c r="C157" s="19"/>
      <c r="D157" s="19"/>
      <c r="E157" s="19"/>
      <c r="F157" s="70"/>
      <c r="G157" s="71"/>
      <c r="H157" s="505"/>
      <c r="I157" s="203"/>
    </row>
    <row r="158" spans="1:9">
      <c r="A158" s="14"/>
      <c r="B158" s="1574" t="s">
        <v>459</v>
      </c>
      <c r="C158" s="1575"/>
      <c r="D158" s="1575"/>
      <c r="E158" s="1576"/>
      <c r="F158" s="60"/>
      <c r="G158" s="61"/>
      <c r="H158" s="503"/>
      <c r="I158" s="62"/>
    </row>
    <row r="159" spans="1:9" ht="48" customHeight="1">
      <c r="A159" s="14"/>
      <c r="B159" s="1574" t="s">
        <v>476</v>
      </c>
      <c r="C159" s="1575"/>
      <c r="D159" s="1575"/>
      <c r="E159" s="1576"/>
      <c r="F159" s="60"/>
      <c r="G159" s="61"/>
      <c r="H159" s="503">
        <v>1.3</v>
      </c>
      <c r="I159" s="62">
        <f>H159*I149</f>
        <v>27066.61464</v>
      </c>
    </row>
    <row r="160" spans="1:9" s="6" customFormat="1" ht="54" customHeight="1">
      <c r="A160" s="14"/>
      <c r="B160" s="1574" t="s">
        <v>477</v>
      </c>
      <c r="C160" s="1575"/>
      <c r="D160" s="1575"/>
      <c r="E160" s="1576"/>
      <c r="F160" s="60"/>
      <c r="G160" s="61"/>
      <c r="H160" s="503">
        <v>0.6</v>
      </c>
      <c r="I160" s="62">
        <f>H160*I149</f>
        <v>12492.283679999999</v>
      </c>
    </row>
    <row r="161" spans="1:9" s="59" customFormat="1">
      <c r="A161" s="46"/>
      <c r="B161" s="47"/>
      <c r="C161" s="48"/>
      <c r="D161" s="48"/>
      <c r="E161" s="48"/>
      <c r="F161" s="64"/>
      <c r="G161" s="65"/>
      <c r="H161" s="227"/>
      <c r="I161" s="66"/>
    </row>
    <row r="162" spans="1:9" s="12" customFormat="1" ht="30" customHeight="1">
      <c r="A162" s="236" t="str">
        <f>L_CViec!A489</f>
        <v>XI</v>
      </c>
      <c r="B162" s="1553" t="str">
        <f>L_CViec!B489</f>
        <v>TRÍCH LỤC HỒ SƠ ĐỊA CHÍNH</v>
      </c>
      <c r="C162" s="1554"/>
      <c r="D162" s="1554"/>
      <c r="E162" s="233"/>
      <c r="F162" s="202"/>
      <c r="G162" s="202"/>
      <c r="H162" s="225"/>
      <c r="I162" s="316" t="s">
        <v>488</v>
      </c>
    </row>
    <row r="163" spans="1:9">
      <c r="A163" s="242">
        <v>1</v>
      </c>
      <c r="B163" s="204" t="s">
        <v>364</v>
      </c>
      <c r="C163" s="205"/>
      <c r="D163" s="205"/>
      <c r="E163" s="206"/>
      <c r="F163" s="56"/>
      <c r="G163" s="57"/>
      <c r="H163" s="502"/>
      <c r="I163" s="58">
        <f>SUM(I164:I167)</f>
        <v>2433.2399999999998</v>
      </c>
    </row>
    <row r="164" spans="1:9">
      <c r="A164" s="244"/>
      <c r="B164" s="7" t="s">
        <v>411</v>
      </c>
      <c r="C164" s="8" t="s">
        <v>366</v>
      </c>
      <c r="D164" s="8">
        <v>2.2000000000000002</v>
      </c>
      <c r="E164" s="8">
        <f>'Gia_Dcu-Tbi-Vlieu'!E$30</f>
        <v>10</v>
      </c>
      <c r="F164" s="60">
        <f>'Gia_Dcu-Tbi-Vlieu'!F$31</f>
        <v>14200000</v>
      </c>
      <c r="G164" s="61">
        <f>'Gia_Dcu-Tbi-Vlieu'!G$30</f>
        <v>5099.8</v>
      </c>
      <c r="H164" s="503">
        <v>0.05</v>
      </c>
      <c r="I164" s="62">
        <f>G164*H164</f>
        <v>254.99</v>
      </c>
    </row>
    <row r="165" spans="1:9">
      <c r="A165" s="243"/>
      <c r="B165" s="7" t="s">
        <v>410</v>
      </c>
      <c r="C165" s="8" t="s">
        <v>366</v>
      </c>
      <c r="D165" s="8">
        <v>0.4</v>
      </c>
      <c r="E165" s="8">
        <f>'Gia_Dcu-Tbi-Vlieu'!E$26</f>
        <v>5</v>
      </c>
      <c r="F165" s="60">
        <f>'Gia_Dcu-Tbi-Vlieu'!F$26</f>
        <v>33480000</v>
      </c>
      <c r="G165" s="61">
        <f>'Gia_Dcu-Tbi-Vlieu'!G$26</f>
        <v>13392</v>
      </c>
      <c r="H165" s="503">
        <v>0.15</v>
      </c>
      <c r="I165" s="62">
        <f>G165*H165</f>
        <v>2008.8</v>
      </c>
    </row>
    <row r="166" spans="1:9">
      <c r="A166" s="244"/>
      <c r="B166" s="7" t="s">
        <v>383</v>
      </c>
      <c r="C166" s="8" t="s">
        <v>366</v>
      </c>
      <c r="D166" s="8">
        <v>0.6</v>
      </c>
      <c r="E166" s="8">
        <f>'Gia_Dcu-Tbi-Vlieu'!E$27</f>
        <v>10</v>
      </c>
      <c r="F166" s="60">
        <f>'Gia_Dcu-Tbi-Vlieu'!F$27</f>
        <v>9150000</v>
      </c>
      <c r="G166" s="61">
        <f>'Gia_Dcu-Tbi-Vlieu'!G$27</f>
        <v>1830</v>
      </c>
      <c r="H166" s="503">
        <v>1.4999999999999999E-2</v>
      </c>
      <c r="I166" s="62">
        <f>G166*H166</f>
        <v>27.45</v>
      </c>
    </row>
    <row r="167" spans="1:9">
      <c r="A167" s="244"/>
      <c r="B167" s="7" t="s">
        <v>44</v>
      </c>
      <c r="C167" s="8" t="s">
        <v>366</v>
      </c>
      <c r="D167" s="8">
        <v>1.5</v>
      </c>
      <c r="E167" s="8">
        <f>'Gia_Dcu-Tbi-Vlieu'!E$31</f>
        <v>10</v>
      </c>
      <c r="F167" s="60">
        <f>'Gia_Dcu-Tbi-Vlieu'!F$32</f>
        <v>39400000</v>
      </c>
      <c r="G167" s="61">
        <f>'Gia_Dcu-Tbi-Vlieu'!G$31</f>
        <v>2840</v>
      </c>
      <c r="H167" s="503">
        <v>0.05</v>
      </c>
      <c r="I167" s="62">
        <f>G167*H167</f>
        <v>142</v>
      </c>
    </row>
    <row r="168" spans="1:9" s="59" customFormat="1">
      <c r="A168" s="255"/>
      <c r="B168" s="256" t="s">
        <v>18</v>
      </c>
      <c r="C168" s="257" t="s">
        <v>381</v>
      </c>
      <c r="D168" s="257"/>
      <c r="E168" s="258">
        <f>'Gia_Dcu-Tbi-Vlieu'!E$35</f>
        <v>1</v>
      </c>
      <c r="F168" s="56">
        <f>'Gia_Dcu-Tbi-Vlieu'!F$35</f>
        <v>2204.0655000000002</v>
      </c>
      <c r="G168" s="57">
        <f>'Gia_Dcu-Tbi-Vlieu'!G$35</f>
        <v>2204.0655000000002</v>
      </c>
      <c r="H168" s="502">
        <v>2.032</v>
      </c>
      <c r="I168" s="58">
        <f>G168*H168</f>
        <v>4478.6610960000007</v>
      </c>
    </row>
    <row r="169" spans="1:9">
      <c r="A169" s="14"/>
      <c r="B169" s="11" t="s">
        <v>332</v>
      </c>
      <c r="C169" s="8"/>
      <c r="D169" s="8"/>
      <c r="E169" s="55"/>
      <c r="F169" s="60"/>
      <c r="G169" s="61"/>
      <c r="H169" s="503"/>
      <c r="I169" s="62"/>
    </row>
    <row r="170" spans="1:9">
      <c r="A170" s="14"/>
      <c r="B170" s="1574" t="s">
        <v>333</v>
      </c>
      <c r="C170" s="1575"/>
      <c r="D170" s="1575"/>
      <c r="E170" s="1575"/>
      <c r="F170" s="1575"/>
      <c r="G170" s="1576"/>
      <c r="H170" s="503"/>
      <c r="I170" s="62"/>
    </row>
    <row r="171" spans="1:9">
      <c r="A171" s="14"/>
      <c r="B171" s="1574" t="s">
        <v>485</v>
      </c>
      <c r="C171" s="1575"/>
      <c r="D171" s="1575"/>
      <c r="E171" s="1575"/>
      <c r="F171" s="1575"/>
      <c r="G171" s="1576"/>
      <c r="H171" s="503">
        <v>0.8</v>
      </c>
      <c r="I171" s="62">
        <f>H171*I$163</f>
        <v>1946.5919999999999</v>
      </c>
    </row>
    <row r="172" spans="1:9">
      <c r="A172" s="14"/>
      <c r="B172" s="1574" t="s">
        <v>486</v>
      </c>
      <c r="C172" s="1575"/>
      <c r="D172" s="1575"/>
      <c r="E172" s="1575"/>
      <c r="F172" s="1575"/>
      <c r="G172" s="1576"/>
      <c r="H172" s="503">
        <v>0.65</v>
      </c>
      <c r="I172" s="62">
        <f>H172*I$163</f>
        <v>1581.606</v>
      </c>
    </row>
    <row r="173" spans="1:9" ht="16.5" thickBot="1">
      <c r="A173" s="246"/>
      <c r="B173" s="1581" t="s">
        <v>487</v>
      </c>
      <c r="C173" s="1582"/>
      <c r="D173" s="1582"/>
      <c r="E173" s="1582"/>
      <c r="F173" s="1582"/>
      <c r="G173" s="1583"/>
      <c r="H173" s="515">
        <v>0.5</v>
      </c>
      <c r="I173" s="252">
        <f>H173*I$163</f>
        <v>1216.6199999999999</v>
      </c>
    </row>
  </sheetData>
  <mergeCells count="69">
    <mergeCell ref="B134:D134"/>
    <mergeCell ref="E135:G135"/>
    <mergeCell ref="B135:D140"/>
    <mergeCell ref="E136:G136"/>
    <mergeCell ref="E137:G137"/>
    <mergeCell ref="B173:G173"/>
    <mergeCell ref="B160:E160"/>
    <mergeCell ref="B162:D162"/>
    <mergeCell ref="B170:G170"/>
    <mergeCell ref="B171:G171"/>
    <mergeCell ref="B172:G172"/>
    <mergeCell ref="B159:E159"/>
    <mergeCell ref="E139:G139"/>
    <mergeCell ref="E140:G140"/>
    <mergeCell ref="E138:G138"/>
    <mergeCell ref="E141:G141"/>
    <mergeCell ref="B148:D148"/>
    <mergeCell ref="B158:E158"/>
    <mergeCell ref="E142:G142"/>
    <mergeCell ref="E143:G143"/>
    <mergeCell ref="E144:G144"/>
    <mergeCell ref="E145:G145"/>
    <mergeCell ref="E146:G146"/>
    <mergeCell ref="B141:D146"/>
    <mergeCell ref="B124:D124"/>
    <mergeCell ref="E92:G92"/>
    <mergeCell ref="E93:G93"/>
    <mergeCell ref="E94:G94"/>
    <mergeCell ref="E95:G95"/>
    <mergeCell ref="B97:D97"/>
    <mergeCell ref="B109:D109"/>
    <mergeCell ref="E109:G109"/>
    <mergeCell ref="B111:D111"/>
    <mergeCell ref="B122:D122"/>
    <mergeCell ref="B68:D68"/>
    <mergeCell ref="B89:D89"/>
    <mergeCell ref="B90:D92"/>
    <mergeCell ref="B93:D95"/>
    <mergeCell ref="B86:D88"/>
    <mergeCell ref="E86:G86"/>
    <mergeCell ref="E87:G87"/>
    <mergeCell ref="E88:G88"/>
    <mergeCell ref="E90:G90"/>
    <mergeCell ref="E91:G91"/>
    <mergeCell ref="A1:I1"/>
    <mergeCell ref="B4:D4"/>
    <mergeCell ref="B25:E27"/>
    <mergeCell ref="F27:G27"/>
    <mergeCell ref="B33:E35"/>
    <mergeCell ref="F30:G30"/>
    <mergeCell ref="F31:G31"/>
    <mergeCell ref="F32:G32"/>
    <mergeCell ref="F33:G33"/>
    <mergeCell ref="F34:G34"/>
    <mergeCell ref="B28:E29"/>
    <mergeCell ref="F28:G28"/>
    <mergeCell ref="F29:G29"/>
    <mergeCell ref="B50:D50"/>
    <mergeCell ref="F35:G35"/>
    <mergeCell ref="B22:E24"/>
    <mergeCell ref="F22:G22"/>
    <mergeCell ref="F23:G23"/>
    <mergeCell ref="F24:G24"/>
    <mergeCell ref="B30:E32"/>
    <mergeCell ref="F25:G25"/>
    <mergeCell ref="F26:G26"/>
    <mergeCell ref="B37:D37"/>
    <mergeCell ref="B48:D48"/>
    <mergeCell ref="E48:H48"/>
  </mergeCells>
  <phoneticPr fontId="4" type="noConversion"/>
  <printOptions horizontalCentered="1"/>
  <pageMargins left="0.39370078740157499" right="0.196850393700787" top="0.39370078740157499" bottom="0.44" header="0.196850393700787" footer="0.196850393700787"/>
  <pageSetup paperSize="9" scale="89" firstPageNumber="93" orientation="landscape" useFirstPageNumber="1" r:id="rId1"/>
  <headerFooter alignWithMargins="0">
    <oddFooter>&amp;C&amp;P</oddFooter>
  </headerFooter>
  <rowBreaks count="3" manualBreakCount="3">
    <brk id="24" max="8" man="1"/>
    <brk id="89" max="8" man="1"/>
    <brk id="120" max="8" man="1"/>
  </rowBreaks>
  <ignoredErrors>
    <ignoredError sqref="I5:I20 I38:I45 I59"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rgb="FF00B050"/>
  </sheetPr>
  <dimension ref="A1:N194"/>
  <sheetViews>
    <sheetView showZeros="0" topLeftCell="A197" zoomScale="87" zoomScaleNormal="87" workbookViewId="0">
      <selection activeCell="N219" sqref="N219"/>
    </sheetView>
  </sheetViews>
  <sheetFormatPr defaultColWidth="9" defaultRowHeight="15.75"/>
  <cols>
    <col min="1" max="1" width="6.77734375" style="38" customWidth="1"/>
    <col min="2" max="2" width="39.109375" style="5" customWidth="1"/>
    <col min="3" max="3" width="7.77734375" style="38" customWidth="1"/>
    <col min="4" max="4" width="11.6640625" style="228" customWidth="1"/>
    <col min="5" max="5" width="11.109375" style="231" customWidth="1"/>
    <col min="6" max="6" width="12" style="231" customWidth="1"/>
    <col min="7" max="7" width="10.21875" style="231" customWidth="1"/>
    <col min="8" max="8" width="11.6640625" style="232" customWidth="1"/>
    <col min="9" max="9" width="11.21875" style="232" customWidth="1"/>
    <col min="10" max="10" width="12.109375" style="232" customWidth="1"/>
    <col min="11" max="11" width="12.88671875" style="5" customWidth="1"/>
    <col min="12" max="12" width="13.44140625" style="5" customWidth="1"/>
    <col min="13" max="16384" width="9" style="5"/>
  </cols>
  <sheetData>
    <row r="1" spans="1:12" ht="18.75">
      <c r="A1" s="1544" t="s">
        <v>566</v>
      </c>
      <c r="B1" s="1544"/>
      <c r="C1" s="1544"/>
      <c r="D1" s="1544"/>
      <c r="E1" s="1544"/>
      <c r="F1" s="1544"/>
      <c r="G1" s="1544"/>
      <c r="H1" s="1544"/>
      <c r="I1" s="1544"/>
      <c r="J1" s="1544"/>
    </row>
    <row r="2" spans="1:12">
      <c r="E2" s="229"/>
      <c r="F2" s="229"/>
      <c r="G2" s="229"/>
      <c r="H2" s="1586" t="s">
        <v>413</v>
      </c>
      <c r="I2" s="1586"/>
      <c r="J2" s="230"/>
    </row>
    <row r="3" spans="1:12" s="6" customFormat="1">
      <c r="A3" s="1507" t="s">
        <v>24</v>
      </c>
      <c r="B3" s="1507" t="s">
        <v>3</v>
      </c>
      <c r="C3" s="1507" t="s">
        <v>39</v>
      </c>
      <c r="D3" s="1508" t="s">
        <v>415</v>
      </c>
      <c r="E3" s="1585" t="s">
        <v>414</v>
      </c>
      <c r="F3" s="1585"/>
      <c r="G3" s="1585"/>
      <c r="H3" s="1382" t="s">
        <v>36</v>
      </c>
      <c r="I3" s="1382"/>
      <c r="J3" s="1382"/>
    </row>
    <row r="4" spans="1:12" s="6" customFormat="1" ht="45" customHeight="1">
      <c r="A4" s="1507"/>
      <c r="B4" s="1507"/>
      <c r="C4" s="1507"/>
      <c r="D4" s="1508"/>
      <c r="E4" s="829" t="s">
        <v>980</v>
      </c>
      <c r="F4" s="829"/>
      <c r="G4" s="829" t="s">
        <v>364</v>
      </c>
      <c r="H4" s="828" t="s">
        <v>980</v>
      </c>
      <c r="I4" s="828"/>
      <c r="J4" s="828" t="s">
        <v>364</v>
      </c>
    </row>
    <row r="5" spans="1:12" s="12" customFormat="1" ht="58.5" customHeight="1">
      <c r="A5" s="830" t="str">
        <f>L_CViec!A10</f>
        <v>I</v>
      </c>
      <c r="B5" s="1552" t="str">
        <f>L_CViec!B10</f>
        <v>ĐĂNG KÝ, CẤP GIẤY CHỨNG NHẬN LẦN ĐẦU ĐỒNG LOẠT ĐỐI VỚI HỘ GIA ĐÌNH, CÁ NHÂN, CỘNG ĐỒNG DÂN CƯ, TỔ CHỨC SỬ DỤNG ĐẤT, NGƯỜI GỐC VIỆT NAM ĐỊNH CƯ Ở NƯỚC NGOÀI TẠI ĐỊA BÀN CẤP XÃ, PHƯỜNG</v>
      </c>
      <c r="C5" s="1552"/>
      <c r="D5" s="1552"/>
      <c r="E5" s="1552"/>
      <c r="F5" s="1552"/>
      <c r="G5" s="1552"/>
      <c r="H5" s="831"/>
      <c r="I5" s="831"/>
      <c r="J5" s="832" t="s">
        <v>515</v>
      </c>
      <c r="L5" s="5"/>
    </row>
    <row r="6" spans="1:12" s="43" customFormat="1" ht="21" customHeight="1">
      <c r="A6" s="833">
        <v>1</v>
      </c>
      <c r="B6" s="834" t="s">
        <v>118</v>
      </c>
      <c r="C6" s="833" t="s">
        <v>366</v>
      </c>
      <c r="D6" s="835">
        <f>'Gia_Dcu-Tbi-Vlieu'!$D$40</f>
        <v>35000</v>
      </c>
      <c r="E6" s="836">
        <v>2.5000000000000001E-2</v>
      </c>
      <c r="F6" s="836"/>
      <c r="G6" s="836">
        <v>3.0000000000000001E-3</v>
      </c>
      <c r="H6" s="835">
        <f t="shared" ref="H6:H23" si="0">$D6*E6</f>
        <v>875</v>
      </c>
      <c r="I6" s="835"/>
      <c r="J6" s="835">
        <f t="shared" ref="J6:J23" si="1">$D6*G6</f>
        <v>105</v>
      </c>
      <c r="L6" s="5"/>
    </row>
    <row r="7" spans="1:12" ht="21" customHeight="1">
      <c r="A7" s="833">
        <v>2</v>
      </c>
      <c r="B7" s="834" t="s">
        <v>389</v>
      </c>
      <c r="C7" s="833" t="s">
        <v>390</v>
      </c>
      <c r="D7" s="835">
        <f>'Gia_Dcu-Tbi-Vlieu'!$D$42</f>
        <v>3500</v>
      </c>
      <c r="E7" s="836">
        <v>1.2E-2</v>
      </c>
      <c r="F7" s="836"/>
      <c r="G7" s="836">
        <v>1E-3</v>
      </c>
      <c r="H7" s="835">
        <f t="shared" si="0"/>
        <v>42</v>
      </c>
      <c r="I7" s="835"/>
      <c r="J7" s="835">
        <f t="shared" si="1"/>
        <v>3.5</v>
      </c>
    </row>
    <row r="8" spans="1:12" ht="21" customHeight="1">
      <c r="A8" s="833">
        <v>3</v>
      </c>
      <c r="B8" s="834" t="s">
        <v>391</v>
      </c>
      <c r="C8" s="833" t="s">
        <v>390</v>
      </c>
      <c r="D8" s="835">
        <f>'Gia_Dcu-Tbi-Vlieu'!$D$43</f>
        <v>3000</v>
      </c>
      <c r="E8" s="836">
        <v>1.7000000000000001E-2</v>
      </c>
      <c r="F8" s="836"/>
      <c r="G8" s="836">
        <v>3.0000000000000001E-3</v>
      </c>
      <c r="H8" s="835">
        <f t="shared" si="0"/>
        <v>51.000000000000007</v>
      </c>
      <c r="I8" s="835"/>
      <c r="J8" s="835">
        <f t="shared" si="1"/>
        <v>9</v>
      </c>
    </row>
    <row r="9" spans="1:12" ht="21" customHeight="1">
      <c r="A9" s="833">
        <v>4</v>
      </c>
      <c r="B9" s="834" t="s">
        <v>392</v>
      </c>
      <c r="C9" s="833" t="s">
        <v>390</v>
      </c>
      <c r="D9" s="835">
        <f>'Gia_Dcu-Tbi-Vlieu'!$D$44</f>
        <v>600000</v>
      </c>
      <c r="E9" s="836">
        <v>6.0000000000000001E-3</v>
      </c>
      <c r="F9" s="836"/>
      <c r="G9" s="836">
        <v>2E-3</v>
      </c>
      <c r="H9" s="835">
        <f t="shared" si="0"/>
        <v>3600</v>
      </c>
      <c r="I9" s="835"/>
      <c r="J9" s="835">
        <f t="shared" si="1"/>
        <v>1200</v>
      </c>
    </row>
    <row r="10" spans="1:12" ht="21" customHeight="1">
      <c r="A10" s="833">
        <v>5</v>
      </c>
      <c r="B10" s="834" t="s">
        <v>393</v>
      </c>
      <c r="C10" s="833" t="s">
        <v>390</v>
      </c>
      <c r="D10" s="835">
        <f>'Gia_Dcu-Tbi-Vlieu'!$D$45</f>
        <v>351000</v>
      </c>
      <c r="E10" s="836">
        <v>7.0000000000000001E-3</v>
      </c>
      <c r="F10" s="836"/>
      <c r="G10" s="836">
        <v>2E-3</v>
      </c>
      <c r="H10" s="835">
        <f t="shared" si="0"/>
        <v>2457</v>
      </c>
      <c r="I10" s="835"/>
      <c r="J10" s="835">
        <f t="shared" si="1"/>
        <v>702</v>
      </c>
    </row>
    <row r="11" spans="1:12" ht="21" customHeight="1">
      <c r="A11" s="833">
        <v>6</v>
      </c>
      <c r="B11" s="834" t="s">
        <v>394</v>
      </c>
      <c r="C11" s="833" t="s">
        <v>390</v>
      </c>
      <c r="D11" s="835">
        <f>'Gia_Dcu-Tbi-Vlieu'!$D$46</f>
        <v>1250000</v>
      </c>
      <c r="E11" s="836">
        <v>2E-3</v>
      </c>
      <c r="F11" s="836"/>
      <c r="G11" s="836">
        <v>1E-3</v>
      </c>
      <c r="H11" s="835">
        <f t="shared" si="0"/>
        <v>2500</v>
      </c>
      <c r="I11" s="835"/>
      <c r="J11" s="835">
        <f t="shared" si="1"/>
        <v>1250</v>
      </c>
    </row>
    <row r="12" spans="1:12" ht="21" customHeight="1">
      <c r="A12" s="1351">
        <v>7</v>
      </c>
      <c r="B12" s="1352" t="s">
        <v>956</v>
      </c>
      <c r="C12" s="1351" t="s">
        <v>147</v>
      </c>
      <c r="D12" s="1353">
        <f>'Gia_Dcu-Tbi-Vlieu'!$D$63:$F$63</f>
        <v>1000</v>
      </c>
      <c r="E12" s="1354">
        <v>1</v>
      </c>
      <c r="F12" s="1354"/>
      <c r="G12" s="1354"/>
      <c r="H12" s="1355">
        <f t="shared" si="0"/>
        <v>1000</v>
      </c>
      <c r="I12" s="1355"/>
      <c r="J12" s="1355"/>
    </row>
    <row r="13" spans="1:12" ht="21" customHeight="1">
      <c r="A13" s="1351">
        <v>8</v>
      </c>
      <c r="B13" s="834" t="s">
        <v>145</v>
      </c>
      <c r="C13" s="833" t="s">
        <v>147</v>
      </c>
      <c r="D13" s="835">
        <f>'Gia_Dcu-Tbi-Vlieu'!$D$47</f>
        <v>8672</v>
      </c>
      <c r="E13" s="836">
        <v>1</v>
      </c>
      <c r="F13" s="836"/>
      <c r="G13" s="836"/>
      <c r="H13" s="835">
        <f t="shared" si="0"/>
        <v>8672</v>
      </c>
      <c r="I13" s="835"/>
      <c r="J13" s="835">
        <f t="shared" si="1"/>
        <v>0</v>
      </c>
    </row>
    <row r="14" spans="1:12" ht="21" customHeight="1">
      <c r="A14" s="833">
        <v>10</v>
      </c>
      <c r="B14" s="834" t="s">
        <v>395</v>
      </c>
      <c r="C14" s="833" t="s">
        <v>396</v>
      </c>
      <c r="D14" s="835">
        <f>'Gia_Dcu-Tbi-Vlieu'!$D$48</f>
        <v>64000</v>
      </c>
      <c r="E14" s="836">
        <v>1.2999999999999999E-2</v>
      </c>
      <c r="F14" s="836"/>
      <c r="G14" s="836">
        <v>3.0000000000000001E-3</v>
      </c>
      <c r="H14" s="835">
        <f>$D14*E14</f>
        <v>832</v>
      </c>
      <c r="I14" s="835"/>
      <c r="J14" s="835">
        <f t="shared" si="1"/>
        <v>192</v>
      </c>
    </row>
    <row r="15" spans="1:12" ht="21" customHeight="1">
      <c r="A15" s="833">
        <v>11</v>
      </c>
      <c r="B15" s="834" t="s">
        <v>397</v>
      </c>
      <c r="C15" s="833" t="s">
        <v>396</v>
      </c>
      <c r="D15" s="835">
        <f>'Gia_Dcu-Tbi-Vlieu'!$D$49</f>
        <v>132000</v>
      </c>
      <c r="E15" s="836">
        <v>1.2E-2</v>
      </c>
      <c r="F15" s="836"/>
      <c r="G15" s="836">
        <v>1.7000000000000001E-2</v>
      </c>
      <c r="H15" s="835">
        <f t="shared" si="0"/>
        <v>1584</v>
      </c>
      <c r="I15" s="835"/>
      <c r="J15" s="835">
        <f t="shared" si="1"/>
        <v>2244</v>
      </c>
    </row>
    <row r="16" spans="1:12" s="43" customFormat="1" ht="21" customHeight="1">
      <c r="A16" s="833">
        <v>13</v>
      </c>
      <c r="B16" s="834" t="s">
        <v>43</v>
      </c>
      <c r="C16" s="833" t="s">
        <v>398</v>
      </c>
      <c r="D16" s="835">
        <f>'Gia_Dcu-Tbi-Vlieu'!$D$50</f>
        <v>10400</v>
      </c>
      <c r="E16" s="836">
        <v>8.5000000000000006E-2</v>
      </c>
      <c r="F16" s="836"/>
      <c r="G16" s="836">
        <v>5.0000000000000001E-3</v>
      </c>
      <c r="H16" s="835">
        <f t="shared" si="0"/>
        <v>884.00000000000011</v>
      </c>
      <c r="I16" s="835"/>
      <c r="J16" s="835">
        <f t="shared" si="1"/>
        <v>52</v>
      </c>
      <c r="L16" s="5"/>
    </row>
    <row r="17" spans="1:12" ht="21" customHeight="1">
      <c r="A17" s="833">
        <v>14</v>
      </c>
      <c r="B17" s="834" t="s">
        <v>399</v>
      </c>
      <c r="C17" s="833" t="s">
        <v>366</v>
      </c>
      <c r="D17" s="835">
        <f>'Gia_Dcu-Tbi-Vlieu'!$D$51</f>
        <v>20000</v>
      </c>
      <c r="E17" s="836">
        <v>1.0999999999999999E-2</v>
      </c>
      <c r="F17" s="836"/>
      <c r="G17" s="836">
        <v>1E-3</v>
      </c>
      <c r="H17" s="835">
        <f t="shared" si="0"/>
        <v>220</v>
      </c>
      <c r="I17" s="835"/>
      <c r="J17" s="835">
        <f t="shared" si="1"/>
        <v>20</v>
      </c>
    </row>
    <row r="18" spans="1:12" ht="21" customHeight="1">
      <c r="A18" s="833">
        <v>15</v>
      </c>
      <c r="B18" s="834" t="s">
        <v>400</v>
      </c>
      <c r="C18" s="833" t="s">
        <v>366</v>
      </c>
      <c r="D18" s="835">
        <f>'Gia_Dcu-Tbi-Vlieu'!$D$52</f>
        <v>40000</v>
      </c>
      <c r="E18" s="836">
        <v>1.0999999999999999E-2</v>
      </c>
      <c r="F18" s="836"/>
      <c r="G18" s="836">
        <v>1E-3</v>
      </c>
      <c r="H18" s="835">
        <f t="shared" si="0"/>
        <v>440</v>
      </c>
      <c r="I18" s="835"/>
      <c r="J18" s="835">
        <f t="shared" si="1"/>
        <v>40</v>
      </c>
    </row>
    <row r="19" spans="1:12" ht="21" customHeight="1">
      <c r="A19" s="833">
        <v>16</v>
      </c>
      <c r="B19" s="834" t="s">
        <v>401</v>
      </c>
      <c r="C19" s="833" t="s">
        <v>402</v>
      </c>
      <c r="D19" s="835">
        <f>'Gia_Dcu-Tbi-Vlieu'!$D$53</f>
        <v>760</v>
      </c>
      <c r="E19" s="836"/>
      <c r="F19" s="836"/>
      <c r="G19" s="836">
        <v>9.4E-2</v>
      </c>
      <c r="H19" s="835">
        <f t="shared" si="0"/>
        <v>0</v>
      </c>
      <c r="I19" s="835"/>
      <c r="J19" s="835">
        <f t="shared" si="1"/>
        <v>71.44</v>
      </c>
    </row>
    <row r="20" spans="1:12" ht="21" customHeight="1">
      <c r="A20" s="833">
        <v>17</v>
      </c>
      <c r="B20" s="834" t="s">
        <v>405</v>
      </c>
      <c r="C20" s="833" t="s">
        <v>366</v>
      </c>
      <c r="D20" s="835">
        <f>'Gia_Dcu-Tbi-Vlieu'!$D$58</f>
        <v>2950</v>
      </c>
      <c r="E20" s="836">
        <v>1</v>
      </c>
      <c r="F20" s="836"/>
      <c r="G20" s="836"/>
      <c r="H20" s="835">
        <f t="shared" si="0"/>
        <v>2950</v>
      </c>
      <c r="I20" s="835"/>
      <c r="J20" s="835">
        <f t="shared" si="1"/>
        <v>0</v>
      </c>
    </row>
    <row r="21" spans="1:12" ht="21" customHeight="1">
      <c r="A21" s="833">
        <v>18</v>
      </c>
      <c r="B21" s="834" t="s">
        <v>406</v>
      </c>
      <c r="C21" s="833" t="s">
        <v>390</v>
      </c>
      <c r="D21" s="835">
        <f>'Gia_Dcu-Tbi-Vlieu'!$D$60</f>
        <v>3150000</v>
      </c>
      <c r="E21" s="836">
        <v>1E-3</v>
      </c>
      <c r="F21" s="836"/>
      <c r="G21" s="836">
        <v>1E-3</v>
      </c>
      <c r="H21" s="835">
        <f t="shared" si="0"/>
        <v>3150</v>
      </c>
      <c r="I21" s="835"/>
      <c r="J21" s="835">
        <f t="shared" si="1"/>
        <v>3150</v>
      </c>
    </row>
    <row r="22" spans="1:12" ht="21" customHeight="1">
      <c r="A22" s="833">
        <v>19</v>
      </c>
      <c r="B22" s="834" t="s">
        <v>407</v>
      </c>
      <c r="C22" s="833" t="s">
        <v>147</v>
      </c>
      <c r="D22" s="835">
        <f>'Gia_Dcu-Tbi-Vlieu'!$D$61</f>
        <v>19800.000000000004</v>
      </c>
      <c r="E22" s="836">
        <v>0.03</v>
      </c>
      <c r="F22" s="836"/>
      <c r="G22" s="836">
        <v>0.09</v>
      </c>
      <c r="H22" s="835">
        <f t="shared" si="0"/>
        <v>594.00000000000011</v>
      </c>
      <c r="I22" s="835"/>
      <c r="J22" s="835">
        <f t="shared" si="1"/>
        <v>1782.0000000000002</v>
      </c>
    </row>
    <row r="23" spans="1:12" ht="21" customHeight="1">
      <c r="A23" s="833">
        <v>20</v>
      </c>
      <c r="B23" s="834" t="s">
        <v>408</v>
      </c>
      <c r="C23" s="833" t="s">
        <v>390</v>
      </c>
      <c r="D23" s="835">
        <f>'Gia_Dcu-Tbi-Vlieu'!$D$62</f>
        <v>3150000</v>
      </c>
      <c r="E23" s="836">
        <v>1E-3</v>
      </c>
      <c r="F23" s="836"/>
      <c r="G23" s="836"/>
      <c r="H23" s="835">
        <f t="shared" si="0"/>
        <v>3150</v>
      </c>
      <c r="I23" s="835"/>
      <c r="J23" s="835">
        <f t="shared" si="1"/>
        <v>0</v>
      </c>
    </row>
    <row r="24" spans="1:12" s="15" customFormat="1" ht="21" customHeight="1">
      <c r="A24" s="511"/>
      <c r="B24" s="510" t="s">
        <v>580</v>
      </c>
      <c r="C24" s="511"/>
      <c r="D24" s="512"/>
      <c r="E24" s="513"/>
      <c r="F24" s="513"/>
      <c r="G24" s="514">
        <v>1</v>
      </c>
      <c r="H24" s="837">
        <f>SUM(H6:H23)*$G24</f>
        <v>33001</v>
      </c>
      <c r="I24" s="837"/>
      <c r="J24" s="837">
        <f>SUM(J6:J23)*$G24</f>
        <v>10820.939999999999</v>
      </c>
    </row>
    <row r="25" spans="1:12" ht="21" customHeight="1">
      <c r="A25" s="833"/>
      <c r="B25" s="846" t="s">
        <v>332</v>
      </c>
      <c r="C25" s="833"/>
      <c r="D25" s="835"/>
      <c r="E25" s="847"/>
      <c r="F25" s="847"/>
      <c r="G25" s="847"/>
      <c r="H25" s="835"/>
      <c r="I25" s="835"/>
      <c r="J25" s="835"/>
    </row>
    <row r="26" spans="1:12" ht="39" customHeight="1">
      <c r="A26" s="848"/>
      <c r="B26" s="1584" t="s">
        <v>416</v>
      </c>
      <c r="C26" s="1584"/>
      <c r="D26" s="1584"/>
      <c r="E26" s="849"/>
      <c r="F26" s="849"/>
      <c r="G26" s="849"/>
      <c r="H26" s="835"/>
      <c r="I26" s="835"/>
      <c r="J26" s="835"/>
    </row>
    <row r="27" spans="1:12" ht="50.25" customHeight="1">
      <c r="A27" s="848"/>
      <c r="B27" s="1584" t="s">
        <v>417</v>
      </c>
      <c r="C27" s="1584"/>
      <c r="D27" s="1584"/>
      <c r="E27" s="849">
        <v>0.02</v>
      </c>
      <c r="F27" s="850">
        <v>4.0000000000000001E-3</v>
      </c>
      <c r="G27" s="849"/>
      <c r="H27" s="835"/>
      <c r="I27" s="835">
        <f>$D$9*$F27+$D$14*$E27</f>
        <v>3680</v>
      </c>
      <c r="J27" s="835"/>
    </row>
    <row r="28" spans="1:12" s="15" customFormat="1" ht="49.5" customHeight="1">
      <c r="A28" s="848"/>
      <c r="B28" s="1584" t="s">
        <v>418</v>
      </c>
      <c r="C28" s="1584"/>
      <c r="D28" s="1584"/>
      <c r="E28" s="849"/>
      <c r="F28" s="849"/>
      <c r="G28" s="849"/>
      <c r="H28" s="835"/>
      <c r="I28" s="835"/>
      <c r="J28" s="835"/>
      <c r="L28" s="5"/>
    </row>
    <row r="29" spans="1:12" s="43" customFormat="1">
      <c r="A29" s="838"/>
      <c r="B29" s="839"/>
      <c r="C29" s="838"/>
      <c r="D29" s="840"/>
      <c r="E29" s="851"/>
      <c r="F29" s="851"/>
      <c r="G29" s="851"/>
      <c r="H29" s="841"/>
      <c r="I29" s="841"/>
      <c r="J29" s="841"/>
      <c r="L29" s="5"/>
    </row>
    <row r="30" spans="1:12">
      <c r="A30" s="838"/>
      <c r="B30" s="839"/>
      <c r="C30" s="838"/>
      <c r="D30" s="840"/>
      <c r="E30" s="851"/>
      <c r="F30" s="851"/>
      <c r="G30" s="851"/>
      <c r="H30" s="841">
        <f t="shared" ref="H30:J30" si="2">$D30*E30</f>
        <v>0</v>
      </c>
      <c r="I30" s="841">
        <f t="shared" si="2"/>
        <v>0</v>
      </c>
      <c r="J30" s="841">
        <f t="shared" si="2"/>
        <v>0</v>
      </c>
    </row>
    <row r="31" spans="1:12" s="6" customFormat="1" ht="15.6" customHeight="1">
      <c r="A31" s="1507" t="s">
        <v>24</v>
      </c>
      <c r="B31" s="1507" t="s">
        <v>3</v>
      </c>
      <c r="C31" s="1507" t="s">
        <v>39</v>
      </c>
      <c r="D31" s="1508" t="s">
        <v>415</v>
      </c>
      <c r="E31" s="1585" t="s">
        <v>414</v>
      </c>
      <c r="F31" s="1585"/>
      <c r="G31" s="1585"/>
      <c r="H31" s="1585"/>
      <c r="I31" s="1382" t="s">
        <v>36</v>
      </c>
      <c r="J31" s="1382"/>
      <c r="K31" s="1382"/>
      <c r="L31" s="1382"/>
    </row>
    <row r="32" spans="1:12" s="6" customFormat="1" ht="33.6" customHeight="1">
      <c r="A32" s="1507"/>
      <c r="B32" s="1507"/>
      <c r="C32" s="1507"/>
      <c r="D32" s="1508"/>
      <c r="E32" s="1587" t="s">
        <v>980</v>
      </c>
      <c r="F32" s="1587"/>
      <c r="G32" s="1585"/>
      <c r="H32" s="1585"/>
      <c r="I32" s="1587" t="s">
        <v>980</v>
      </c>
      <c r="J32" s="1587"/>
      <c r="K32" s="1382"/>
      <c r="L32" s="1382"/>
    </row>
    <row r="33" spans="1:14" s="6" customFormat="1" ht="47.25">
      <c r="A33" s="1507"/>
      <c r="B33" s="1507"/>
      <c r="C33" s="1507"/>
      <c r="D33" s="1508"/>
      <c r="E33" s="829" t="s">
        <v>980</v>
      </c>
      <c r="F33" s="829"/>
      <c r="G33" s="829"/>
      <c r="H33" s="829"/>
      <c r="I33" s="829" t="str">
        <f>E33</f>
        <v>Tại địa bàn xã, phường</v>
      </c>
      <c r="J33" s="828"/>
      <c r="K33" s="828"/>
      <c r="L33" s="828"/>
    </row>
    <row r="34" spans="1:14" s="12" customFormat="1" ht="33" customHeight="1">
      <c r="A34" s="842" t="str">
        <f>L_CViec!A93</f>
        <v>II</v>
      </c>
      <c r="B34" s="1590" t="str">
        <f>L_CViec!B93</f>
        <v>Đăng ký, cấp Giấy chứng nhận lần đầu đơn lẻ đối với hộ gia đình, cá nhân, cộng đồng dân cư, tổ chức trong nước, người gốc Việt Nam định cư ở nước ngoài tại địa bàn cấp xã, phường</v>
      </c>
      <c r="C34" s="1590"/>
      <c r="D34" s="1590"/>
      <c r="E34" s="1590"/>
      <c r="F34" s="1590"/>
      <c r="G34" s="1590"/>
      <c r="H34" s="843"/>
      <c r="I34" s="843"/>
      <c r="J34" s="843"/>
      <c r="K34" s="843"/>
      <c r="L34" s="844" t="s">
        <v>513</v>
      </c>
      <c r="N34" s="5"/>
    </row>
    <row r="35" spans="1:14" s="43" customFormat="1" ht="20.25" customHeight="1">
      <c r="A35" s="838">
        <v>1</v>
      </c>
      <c r="B35" s="839" t="s">
        <v>118</v>
      </c>
      <c r="C35" s="838" t="s">
        <v>366</v>
      </c>
      <c r="D35" s="498">
        <f>'Gia_Dcu-Tbi-Vlieu'!$D$40</f>
        <v>35000</v>
      </c>
      <c r="E35" s="1178">
        <v>4.0000000000000001E-3</v>
      </c>
      <c r="F35" s="845"/>
      <c r="G35" s="845"/>
      <c r="H35" s="845"/>
      <c r="I35" s="841">
        <f>$D35*E35</f>
        <v>140</v>
      </c>
      <c r="J35" s="841">
        <f t="shared" ref="J35:L47" si="3">$D35*F35</f>
        <v>0</v>
      </c>
      <c r="K35" s="841">
        <f t="shared" si="3"/>
        <v>0</v>
      </c>
      <c r="L35" s="841">
        <f t="shared" si="3"/>
        <v>0</v>
      </c>
    </row>
    <row r="36" spans="1:14" ht="20.25" customHeight="1">
      <c r="A36" s="838">
        <v>2</v>
      </c>
      <c r="B36" s="839" t="s">
        <v>389</v>
      </c>
      <c r="C36" s="838" t="s">
        <v>390</v>
      </c>
      <c r="D36" s="498">
        <f>'Gia_Dcu-Tbi-Vlieu'!$D$42</f>
        <v>3500</v>
      </c>
      <c r="E36" s="1178">
        <v>2.7E-2</v>
      </c>
      <c r="F36" s="845"/>
      <c r="G36" s="845"/>
      <c r="H36" s="845"/>
      <c r="I36" s="841">
        <f t="shared" ref="I36:I48" si="4">$D36*E36</f>
        <v>94.5</v>
      </c>
      <c r="J36" s="841">
        <f t="shared" si="3"/>
        <v>0</v>
      </c>
      <c r="K36" s="841">
        <f t="shared" si="3"/>
        <v>0</v>
      </c>
      <c r="L36" s="841">
        <f t="shared" si="3"/>
        <v>0</v>
      </c>
    </row>
    <row r="37" spans="1:14" ht="20.25" customHeight="1">
      <c r="A37" s="838">
        <v>3</v>
      </c>
      <c r="B37" s="839" t="s">
        <v>391</v>
      </c>
      <c r="C37" s="838" t="s">
        <v>390</v>
      </c>
      <c r="D37" s="498">
        <f>'Gia_Dcu-Tbi-Vlieu'!$D$43</f>
        <v>3000</v>
      </c>
      <c r="E37" s="1178">
        <v>0.06</v>
      </c>
      <c r="F37" s="845"/>
      <c r="G37" s="845"/>
      <c r="H37" s="845"/>
      <c r="I37" s="841">
        <f t="shared" si="4"/>
        <v>180</v>
      </c>
      <c r="J37" s="841">
        <f t="shared" si="3"/>
        <v>0</v>
      </c>
      <c r="K37" s="841">
        <f t="shared" si="3"/>
        <v>0</v>
      </c>
      <c r="L37" s="841">
        <f t="shared" si="3"/>
        <v>0</v>
      </c>
    </row>
    <row r="38" spans="1:14" ht="20.25" customHeight="1">
      <c r="A38" s="838">
        <v>4</v>
      </c>
      <c r="B38" s="839" t="s">
        <v>392</v>
      </c>
      <c r="C38" s="838" t="s">
        <v>390</v>
      </c>
      <c r="D38" s="498">
        <f>'Gia_Dcu-Tbi-Vlieu'!$D$44</f>
        <v>600000</v>
      </c>
      <c r="E38" s="1178">
        <v>5.0000000000000001E-3</v>
      </c>
      <c r="F38" s="845"/>
      <c r="G38" s="845"/>
      <c r="H38" s="845"/>
      <c r="I38" s="841">
        <f t="shared" si="4"/>
        <v>3000</v>
      </c>
      <c r="J38" s="841">
        <f t="shared" si="3"/>
        <v>0</v>
      </c>
      <c r="K38" s="841">
        <f t="shared" si="3"/>
        <v>0</v>
      </c>
      <c r="L38" s="841">
        <f t="shared" si="3"/>
        <v>0</v>
      </c>
    </row>
    <row r="39" spans="1:14" ht="20.25" customHeight="1">
      <c r="A39" s="838">
        <v>5</v>
      </c>
      <c r="B39" s="839" t="s">
        <v>393</v>
      </c>
      <c r="C39" s="838" t="s">
        <v>390</v>
      </c>
      <c r="D39" s="498">
        <f>'Gia_Dcu-Tbi-Vlieu'!$D$45</f>
        <v>351000</v>
      </c>
      <c r="E39" s="1178">
        <v>8.0000000000000002E-3</v>
      </c>
      <c r="F39" s="845"/>
      <c r="G39" s="845"/>
      <c r="H39" s="845"/>
      <c r="I39" s="841">
        <f t="shared" si="4"/>
        <v>2808</v>
      </c>
      <c r="J39" s="841">
        <f t="shared" si="3"/>
        <v>0</v>
      </c>
      <c r="K39" s="841">
        <f t="shared" si="3"/>
        <v>0</v>
      </c>
      <c r="L39" s="841">
        <f t="shared" si="3"/>
        <v>0</v>
      </c>
    </row>
    <row r="40" spans="1:14" ht="20.25" customHeight="1">
      <c r="A40" s="838">
        <v>6</v>
      </c>
      <c r="B40" s="839" t="s">
        <v>394</v>
      </c>
      <c r="C40" s="838" t="s">
        <v>390</v>
      </c>
      <c r="D40" s="498">
        <f>'Gia_Dcu-Tbi-Vlieu'!$D$46</f>
        <v>1250000</v>
      </c>
      <c r="E40" s="1178">
        <v>3.0000000000000001E-3</v>
      </c>
      <c r="F40" s="845"/>
      <c r="G40" s="845"/>
      <c r="H40" s="845"/>
      <c r="I40" s="841">
        <f t="shared" si="4"/>
        <v>3750</v>
      </c>
      <c r="J40" s="841">
        <f t="shared" si="3"/>
        <v>0</v>
      </c>
      <c r="K40" s="841">
        <f t="shared" si="3"/>
        <v>0</v>
      </c>
      <c r="L40" s="841">
        <f t="shared" si="3"/>
        <v>0</v>
      </c>
    </row>
    <row r="41" spans="1:14" ht="20.25" customHeight="1">
      <c r="A41" s="1351">
        <v>7</v>
      </c>
      <c r="B41" s="1352" t="s">
        <v>956</v>
      </c>
      <c r="C41" s="1351" t="s">
        <v>147</v>
      </c>
      <c r="D41" s="1353">
        <f>'Gia_Dcu-Tbi-Vlieu'!$D$63:$F$63</f>
        <v>1000</v>
      </c>
      <c r="E41" s="1354">
        <v>1</v>
      </c>
      <c r="F41" s="1354"/>
      <c r="G41" s="1354"/>
      <c r="H41" s="1354"/>
      <c r="I41" s="1355">
        <f t="shared" si="4"/>
        <v>1000</v>
      </c>
      <c r="J41" s="1355"/>
      <c r="K41" s="1355"/>
      <c r="L41" s="841"/>
    </row>
    <row r="42" spans="1:14" ht="20.25" customHeight="1">
      <c r="A42" s="1351">
        <v>8</v>
      </c>
      <c r="B42" s="839" t="s">
        <v>145</v>
      </c>
      <c r="C42" s="838" t="s">
        <v>147</v>
      </c>
      <c r="D42" s="498">
        <f>'Gia_Dcu-Tbi-Vlieu'!$D$47</f>
        <v>8672</v>
      </c>
      <c r="E42" s="1178">
        <v>1</v>
      </c>
      <c r="F42" s="845"/>
      <c r="G42" s="845"/>
      <c r="H42" s="845"/>
      <c r="I42" s="841">
        <f t="shared" si="4"/>
        <v>8672</v>
      </c>
      <c r="J42" s="841">
        <f t="shared" si="3"/>
        <v>0</v>
      </c>
      <c r="K42" s="841">
        <f t="shared" si="3"/>
        <v>0</v>
      </c>
      <c r="L42" s="841">
        <f t="shared" si="3"/>
        <v>0</v>
      </c>
    </row>
    <row r="43" spans="1:14" ht="20.25" customHeight="1">
      <c r="A43" s="838">
        <v>10</v>
      </c>
      <c r="B43" s="839" t="s">
        <v>395</v>
      </c>
      <c r="C43" s="838" t="s">
        <v>396</v>
      </c>
      <c r="D43" s="498">
        <f>'Gia_Dcu-Tbi-Vlieu'!$D$48</f>
        <v>64000</v>
      </c>
      <c r="E43" s="1178">
        <v>3.7999999999999999E-2</v>
      </c>
      <c r="F43" s="845"/>
      <c r="G43" s="845"/>
      <c r="H43" s="845"/>
      <c r="I43" s="841">
        <f t="shared" si="4"/>
        <v>2432</v>
      </c>
      <c r="J43" s="841">
        <f t="shared" si="3"/>
        <v>0</v>
      </c>
      <c r="K43" s="841">
        <f t="shared" si="3"/>
        <v>0</v>
      </c>
      <c r="L43" s="841">
        <f t="shared" si="3"/>
        <v>0</v>
      </c>
    </row>
    <row r="44" spans="1:14" ht="20.25" customHeight="1">
      <c r="A44" s="838">
        <v>11</v>
      </c>
      <c r="B44" s="839" t="s">
        <v>397</v>
      </c>
      <c r="C44" s="838" t="s">
        <v>396</v>
      </c>
      <c r="D44" s="498">
        <f>'Gia_Dcu-Tbi-Vlieu'!$D$49</f>
        <v>132000</v>
      </c>
      <c r="E44" s="1178">
        <v>4.0000000000000001E-3</v>
      </c>
      <c r="F44" s="845"/>
      <c r="G44" s="845"/>
      <c r="H44" s="845"/>
      <c r="I44" s="841">
        <f t="shared" si="4"/>
        <v>528</v>
      </c>
      <c r="J44" s="841">
        <f t="shared" si="3"/>
        <v>0</v>
      </c>
      <c r="K44" s="841">
        <f t="shared" si="3"/>
        <v>0</v>
      </c>
      <c r="L44" s="841">
        <f t="shared" si="3"/>
        <v>0</v>
      </c>
    </row>
    <row r="45" spans="1:14" s="43" customFormat="1" ht="20.25" customHeight="1">
      <c r="A45" s="838">
        <v>13</v>
      </c>
      <c r="B45" s="839" t="s">
        <v>43</v>
      </c>
      <c r="C45" s="838" t="s">
        <v>398</v>
      </c>
      <c r="D45" s="498">
        <f>'Gia_Dcu-Tbi-Vlieu'!$D$50</f>
        <v>10400</v>
      </c>
      <c r="E45" s="1178">
        <v>2.5999999999999999E-2</v>
      </c>
      <c r="F45" s="845"/>
      <c r="G45" s="845"/>
      <c r="H45" s="845"/>
      <c r="I45" s="841">
        <f t="shared" si="4"/>
        <v>270.39999999999998</v>
      </c>
      <c r="J45" s="841">
        <f t="shared" si="3"/>
        <v>0</v>
      </c>
      <c r="K45" s="841">
        <f t="shared" si="3"/>
        <v>0</v>
      </c>
      <c r="L45" s="841">
        <f t="shared" si="3"/>
        <v>0</v>
      </c>
    </row>
    <row r="46" spans="1:14" ht="20.25" customHeight="1">
      <c r="A46" s="838">
        <v>14</v>
      </c>
      <c r="B46" s="839" t="s">
        <v>399</v>
      </c>
      <c r="C46" s="838" t="s">
        <v>366</v>
      </c>
      <c r="D46" s="498">
        <f>'Gia_Dcu-Tbi-Vlieu'!$D$51</f>
        <v>20000</v>
      </c>
      <c r="E46" s="1178">
        <v>2E-3</v>
      </c>
      <c r="F46" s="845"/>
      <c r="G46" s="845"/>
      <c r="H46" s="845"/>
      <c r="I46" s="841">
        <f t="shared" si="4"/>
        <v>40</v>
      </c>
      <c r="J46" s="841">
        <f t="shared" si="3"/>
        <v>0</v>
      </c>
      <c r="K46" s="841">
        <f t="shared" si="3"/>
        <v>0</v>
      </c>
      <c r="L46" s="841">
        <f t="shared" si="3"/>
        <v>0</v>
      </c>
    </row>
    <row r="47" spans="1:14" ht="20.25" customHeight="1">
      <c r="A47" s="838">
        <v>15</v>
      </c>
      <c r="B47" s="839" t="s">
        <v>400</v>
      </c>
      <c r="C47" s="838" t="s">
        <v>366</v>
      </c>
      <c r="D47" s="498">
        <f>'Gia_Dcu-Tbi-Vlieu'!$D$52</f>
        <v>40000</v>
      </c>
      <c r="E47" s="1178">
        <v>2E-3</v>
      </c>
      <c r="F47" s="845"/>
      <c r="G47" s="845"/>
      <c r="H47" s="845"/>
      <c r="I47" s="841">
        <f t="shared" si="4"/>
        <v>80</v>
      </c>
      <c r="J47" s="841">
        <f t="shared" si="3"/>
        <v>0</v>
      </c>
      <c r="K47" s="841">
        <f t="shared" si="3"/>
        <v>0</v>
      </c>
      <c r="L47" s="841">
        <f t="shared" si="3"/>
        <v>0</v>
      </c>
    </row>
    <row r="48" spans="1:14" ht="20.25" customHeight="1">
      <c r="A48" s="838">
        <v>16</v>
      </c>
      <c r="B48" s="445" t="s">
        <v>434</v>
      </c>
      <c r="C48" s="1351" t="s">
        <v>147</v>
      </c>
      <c r="D48" s="498">
        <f>'Gia_Dcu-Tbi-Vlieu'!$D$54</f>
        <v>380</v>
      </c>
      <c r="E48" s="1178">
        <v>1</v>
      </c>
      <c r="F48" s="845"/>
      <c r="G48" s="845"/>
      <c r="H48" s="845"/>
      <c r="I48" s="841">
        <f t="shared" si="4"/>
        <v>380</v>
      </c>
      <c r="J48" s="841">
        <f>$D48*F48</f>
        <v>0</v>
      </c>
      <c r="K48" s="841">
        <f>$D48*G48</f>
        <v>0</v>
      </c>
      <c r="L48" s="841">
        <f>$D48*H48</f>
        <v>0</v>
      </c>
    </row>
    <row r="49" spans="1:12" s="15" customFormat="1" ht="20.25" customHeight="1">
      <c r="A49" s="438"/>
      <c r="B49" s="448" t="s">
        <v>580</v>
      </c>
      <c r="C49" s="438"/>
      <c r="D49" s="449"/>
      <c r="E49" s="508"/>
      <c r="F49" s="508"/>
      <c r="G49" s="508"/>
      <c r="H49" s="509">
        <v>1</v>
      </c>
      <c r="I49" s="450">
        <f>SUM(I35:I48)*$H49</f>
        <v>23374.9</v>
      </c>
      <c r="J49" s="450"/>
      <c r="K49" s="450"/>
      <c r="L49" s="450"/>
    </row>
    <row r="50" spans="1:12" ht="20.25" customHeight="1">
      <c r="A50" s="838"/>
      <c r="B50" s="852" t="s">
        <v>435</v>
      </c>
      <c r="C50" s="838"/>
      <c r="D50" s="854"/>
      <c r="E50" s="853"/>
      <c r="F50" s="853"/>
      <c r="G50" s="853"/>
      <c r="H50" s="853"/>
      <c r="I50" s="841"/>
      <c r="J50" s="841"/>
      <c r="K50" s="841"/>
      <c r="L50" s="841"/>
    </row>
    <row r="51" spans="1:12" ht="44.25" customHeight="1">
      <c r="A51" s="444"/>
      <c r="B51" s="1591" t="s">
        <v>436</v>
      </c>
      <c r="C51" s="1591"/>
      <c r="D51" s="1591"/>
      <c r="E51" s="855"/>
      <c r="F51" s="855"/>
      <c r="G51" s="855"/>
      <c r="H51" s="855"/>
      <c r="I51" s="841"/>
      <c r="J51" s="841"/>
      <c r="K51" s="841"/>
      <c r="L51" s="841"/>
    </row>
    <row r="52" spans="1:12" s="12" customFormat="1" ht="38.25" customHeight="1">
      <c r="A52" s="830" t="str">
        <f>L_CViec!A161</f>
        <v>III</v>
      </c>
      <c r="B52" s="1552" t="str">
        <f>L_CViec!B161</f>
        <v>Định mức lao động đăng ký, cấp Giấy chứng nhận lần đầu đối với tổ chức (trừ trường hợp thuộc thẩm quyền quyết định của UBND xã, phường), tổ chức tôn giáo, tổ chức tôn giáo trực thuộc đang sử dụng đất</v>
      </c>
      <c r="C52" s="1552"/>
      <c r="D52" s="1552"/>
      <c r="E52" s="1552"/>
      <c r="F52" s="1552"/>
      <c r="G52" s="1552"/>
      <c r="H52" s="831"/>
      <c r="I52" s="831"/>
      <c r="J52" s="832" t="s">
        <v>514</v>
      </c>
      <c r="L52" s="5"/>
    </row>
    <row r="53" spans="1:12" s="12" customFormat="1" ht="60.75" customHeight="1">
      <c r="A53" s="830"/>
      <c r="B53" s="1171"/>
      <c r="C53" s="1171"/>
      <c r="D53" s="1171"/>
      <c r="E53" s="829" t="s">
        <v>980</v>
      </c>
      <c r="F53" s="829"/>
      <c r="G53" s="830" t="s">
        <v>364</v>
      </c>
      <c r="H53" s="829" t="s">
        <v>980</v>
      </c>
      <c r="I53" s="829"/>
      <c r="J53" s="830" t="s">
        <v>364</v>
      </c>
      <c r="L53" s="5"/>
    </row>
    <row r="54" spans="1:12" s="43" customFormat="1" ht="19.5" customHeight="1">
      <c r="A54" s="838">
        <v>1</v>
      </c>
      <c r="B54" s="839" t="s">
        <v>118</v>
      </c>
      <c r="C54" s="838" t="s">
        <v>366</v>
      </c>
      <c r="D54" s="498">
        <f>'Gia_Dcu-Tbi-Vlieu'!$D$40</f>
        <v>35000</v>
      </c>
      <c r="E54" s="845">
        <v>2E-3</v>
      </c>
      <c r="F54" s="845"/>
      <c r="G54" s="845">
        <v>3.0000000000000001E-3</v>
      </c>
      <c r="H54" s="841">
        <f>$D54*E54</f>
        <v>70</v>
      </c>
      <c r="I54" s="841">
        <f t="shared" ref="I54:I67" si="5">$D54*F54</f>
        <v>0</v>
      </c>
      <c r="J54" s="841">
        <f t="shared" ref="J54:J67" si="6">$D54*G54</f>
        <v>105</v>
      </c>
      <c r="L54" s="5"/>
    </row>
    <row r="55" spans="1:12" ht="19.5" customHeight="1">
      <c r="A55" s="838">
        <v>2</v>
      </c>
      <c r="B55" s="839" t="s">
        <v>389</v>
      </c>
      <c r="C55" s="838" t="s">
        <v>390</v>
      </c>
      <c r="D55" s="498">
        <f>'Gia_Dcu-Tbi-Vlieu'!$D$42</f>
        <v>3500</v>
      </c>
      <c r="E55" s="845">
        <v>0.01</v>
      </c>
      <c r="F55" s="845"/>
      <c r="G55" s="845">
        <v>0.03</v>
      </c>
      <c r="H55" s="841">
        <f>$D55*E55</f>
        <v>35</v>
      </c>
      <c r="I55" s="841">
        <f t="shared" si="5"/>
        <v>0</v>
      </c>
      <c r="J55" s="841">
        <f t="shared" si="6"/>
        <v>105</v>
      </c>
    </row>
    <row r="56" spans="1:12" ht="19.5" customHeight="1">
      <c r="A56" s="838">
        <v>3</v>
      </c>
      <c r="B56" s="839" t="s">
        <v>391</v>
      </c>
      <c r="C56" s="838" t="s">
        <v>390</v>
      </c>
      <c r="D56" s="498">
        <f>'Gia_Dcu-Tbi-Vlieu'!$D$43</f>
        <v>3000</v>
      </c>
      <c r="E56" s="845"/>
      <c r="F56" s="845"/>
      <c r="G56" s="845">
        <v>0.04</v>
      </c>
      <c r="H56" s="841">
        <f t="shared" ref="H56:H67" si="7">$D56*E56</f>
        <v>0</v>
      </c>
      <c r="I56" s="841">
        <f t="shared" si="5"/>
        <v>0</v>
      </c>
      <c r="J56" s="841">
        <f t="shared" si="6"/>
        <v>120</v>
      </c>
    </row>
    <row r="57" spans="1:12" ht="19.5" customHeight="1">
      <c r="A57" s="838">
        <v>4</v>
      </c>
      <c r="B57" s="839" t="s">
        <v>392</v>
      </c>
      <c r="C57" s="838" t="s">
        <v>390</v>
      </c>
      <c r="D57" s="498">
        <f>'Gia_Dcu-Tbi-Vlieu'!$D$44</f>
        <v>600000</v>
      </c>
      <c r="E57" s="845"/>
      <c r="F57" s="845"/>
      <c r="G57" s="845">
        <v>3.0000000000000001E-3</v>
      </c>
      <c r="H57" s="841">
        <f t="shared" si="7"/>
        <v>0</v>
      </c>
      <c r="I57" s="841">
        <f t="shared" si="5"/>
        <v>0</v>
      </c>
      <c r="J57" s="841">
        <f t="shared" si="6"/>
        <v>1800</v>
      </c>
    </row>
    <row r="58" spans="1:12" ht="19.5" customHeight="1">
      <c r="A58" s="838">
        <v>5</v>
      </c>
      <c r="B58" s="839" t="s">
        <v>393</v>
      </c>
      <c r="C58" s="838" t="s">
        <v>390</v>
      </c>
      <c r="D58" s="498">
        <f>'Gia_Dcu-Tbi-Vlieu'!$D$45</f>
        <v>351000</v>
      </c>
      <c r="E58" s="845"/>
      <c r="F58" s="845"/>
      <c r="G58" s="845">
        <v>5.0000000000000001E-3</v>
      </c>
      <c r="H58" s="841">
        <f t="shared" si="7"/>
        <v>0</v>
      </c>
      <c r="I58" s="841">
        <f t="shared" si="5"/>
        <v>0</v>
      </c>
      <c r="J58" s="841">
        <f t="shared" si="6"/>
        <v>1755</v>
      </c>
    </row>
    <row r="59" spans="1:12" ht="19.5" customHeight="1">
      <c r="A59" s="838">
        <v>6</v>
      </c>
      <c r="B59" s="839" t="s">
        <v>394</v>
      </c>
      <c r="C59" s="838" t="s">
        <v>390</v>
      </c>
      <c r="D59" s="498">
        <f>'Gia_Dcu-Tbi-Vlieu'!$D$46</f>
        <v>1250000</v>
      </c>
      <c r="E59" s="845"/>
      <c r="F59" s="845"/>
      <c r="G59" s="845">
        <v>3.0000000000000001E-3</v>
      </c>
      <c r="H59" s="841">
        <f t="shared" si="7"/>
        <v>0</v>
      </c>
      <c r="I59" s="841">
        <f t="shared" si="5"/>
        <v>0</v>
      </c>
      <c r="J59" s="841">
        <f t="shared" si="6"/>
        <v>3750</v>
      </c>
    </row>
    <row r="60" spans="1:12" ht="19.5" customHeight="1">
      <c r="A60" s="1351">
        <v>7</v>
      </c>
      <c r="B60" s="1352" t="s">
        <v>956</v>
      </c>
      <c r="C60" s="1351" t="s">
        <v>147</v>
      </c>
      <c r="D60" s="1353">
        <f>'Gia_Dcu-Tbi-Vlieu'!$D$63:$F$63</f>
        <v>1000</v>
      </c>
      <c r="E60" s="1354"/>
      <c r="F60" s="1354"/>
      <c r="G60" s="1354">
        <v>1</v>
      </c>
      <c r="H60" s="1355">
        <f>$D60*E60</f>
        <v>0</v>
      </c>
      <c r="I60" s="1355"/>
      <c r="J60" s="1355">
        <f t="shared" si="6"/>
        <v>1000</v>
      </c>
    </row>
    <row r="61" spans="1:12" ht="19.5" customHeight="1">
      <c r="A61" s="1351">
        <v>8</v>
      </c>
      <c r="B61" s="839" t="s">
        <v>145</v>
      </c>
      <c r="C61" s="838" t="s">
        <v>147</v>
      </c>
      <c r="D61" s="498">
        <f>'Gia_Dcu-Tbi-Vlieu'!$D$47</f>
        <v>8672</v>
      </c>
      <c r="E61" s="845"/>
      <c r="F61" s="845"/>
      <c r="G61" s="845">
        <v>1</v>
      </c>
      <c r="H61" s="841">
        <f t="shared" si="7"/>
        <v>0</v>
      </c>
      <c r="I61" s="841">
        <f t="shared" si="5"/>
        <v>0</v>
      </c>
      <c r="J61" s="841">
        <f t="shared" si="6"/>
        <v>8672</v>
      </c>
    </row>
    <row r="62" spans="1:12" ht="19.5" customHeight="1">
      <c r="A62" s="838">
        <v>10</v>
      </c>
      <c r="B62" s="839" t="s">
        <v>395</v>
      </c>
      <c r="C62" s="838" t="s">
        <v>396</v>
      </c>
      <c r="D62" s="498">
        <f>'Gia_Dcu-Tbi-Vlieu'!$D$48</f>
        <v>64000</v>
      </c>
      <c r="E62" s="845">
        <v>1.2E-2</v>
      </c>
      <c r="F62" s="845"/>
      <c r="G62" s="845">
        <v>0.04</v>
      </c>
      <c r="H62" s="841">
        <f>$D62*E62</f>
        <v>768</v>
      </c>
      <c r="I62" s="841">
        <f t="shared" si="5"/>
        <v>0</v>
      </c>
      <c r="J62" s="841">
        <f t="shared" si="6"/>
        <v>2560</v>
      </c>
    </row>
    <row r="63" spans="1:12" ht="19.5" customHeight="1">
      <c r="A63" s="838">
        <v>11</v>
      </c>
      <c r="B63" s="839" t="s">
        <v>397</v>
      </c>
      <c r="C63" s="838" t="s">
        <v>396</v>
      </c>
      <c r="D63" s="498">
        <f>'Gia_Dcu-Tbi-Vlieu'!$D$49</f>
        <v>132000</v>
      </c>
      <c r="E63" s="845"/>
      <c r="F63" s="845"/>
      <c r="G63" s="845">
        <v>4.0000000000000001E-3</v>
      </c>
      <c r="H63" s="841">
        <f t="shared" si="7"/>
        <v>0</v>
      </c>
      <c r="I63" s="841">
        <f t="shared" si="5"/>
        <v>0</v>
      </c>
      <c r="J63" s="841">
        <f t="shared" si="6"/>
        <v>528</v>
      </c>
    </row>
    <row r="64" spans="1:12" s="43" customFormat="1" ht="19.5" customHeight="1">
      <c r="A64" s="838">
        <v>13</v>
      </c>
      <c r="B64" s="839" t="s">
        <v>43</v>
      </c>
      <c r="C64" s="838" t="s">
        <v>398</v>
      </c>
      <c r="D64" s="498">
        <f>'Gia_Dcu-Tbi-Vlieu'!$D$50</f>
        <v>10400</v>
      </c>
      <c r="E64" s="845">
        <v>0.01</v>
      </c>
      <c r="F64" s="845"/>
      <c r="G64" s="845">
        <v>1.4999999999999999E-2</v>
      </c>
      <c r="H64" s="841">
        <f t="shared" si="7"/>
        <v>104</v>
      </c>
      <c r="I64" s="841">
        <f t="shared" si="5"/>
        <v>0</v>
      </c>
      <c r="J64" s="841">
        <f t="shared" si="6"/>
        <v>156</v>
      </c>
      <c r="L64" s="5"/>
    </row>
    <row r="65" spans="1:12" ht="19.5" customHeight="1">
      <c r="A65" s="838">
        <v>14</v>
      </c>
      <c r="B65" s="839" t="s">
        <v>399</v>
      </c>
      <c r="C65" s="838" t="s">
        <v>366</v>
      </c>
      <c r="D65" s="498">
        <f>'Gia_Dcu-Tbi-Vlieu'!$D$51</f>
        <v>20000</v>
      </c>
      <c r="E65" s="845"/>
      <c r="F65" s="845"/>
      <c r="G65" s="845">
        <v>2E-3</v>
      </c>
      <c r="H65" s="841">
        <f t="shared" si="7"/>
        <v>0</v>
      </c>
      <c r="I65" s="841">
        <f t="shared" si="5"/>
        <v>0</v>
      </c>
      <c r="J65" s="841">
        <f t="shared" si="6"/>
        <v>40</v>
      </c>
    </row>
    <row r="66" spans="1:12" ht="19.5" customHeight="1">
      <c r="A66" s="838">
        <v>15</v>
      </c>
      <c r="B66" s="839" t="s">
        <v>400</v>
      </c>
      <c r="C66" s="838" t="s">
        <v>366</v>
      </c>
      <c r="D66" s="498">
        <f>'Gia_Dcu-Tbi-Vlieu'!$D$52</f>
        <v>40000</v>
      </c>
      <c r="E66" s="845"/>
      <c r="F66" s="845"/>
      <c r="G66" s="845">
        <v>2E-3</v>
      </c>
      <c r="H66" s="841">
        <f t="shared" si="7"/>
        <v>0</v>
      </c>
      <c r="I66" s="841">
        <f t="shared" si="5"/>
        <v>0</v>
      </c>
      <c r="J66" s="841">
        <f t="shared" si="6"/>
        <v>80</v>
      </c>
    </row>
    <row r="67" spans="1:12" ht="19.5" customHeight="1">
      <c r="A67" s="838">
        <v>16</v>
      </c>
      <c r="B67" s="445" t="s">
        <v>434</v>
      </c>
      <c r="C67" s="1351" t="s">
        <v>147</v>
      </c>
      <c r="D67" s="498">
        <f>'Gia_Dcu-Tbi-Vlieu'!$D$54</f>
        <v>380</v>
      </c>
      <c r="E67" s="845"/>
      <c r="F67" s="845"/>
      <c r="G67" s="845">
        <v>1</v>
      </c>
      <c r="H67" s="841">
        <f t="shared" si="7"/>
        <v>0</v>
      </c>
      <c r="I67" s="841">
        <f t="shared" si="5"/>
        <v>0</v>
      </c>
      <c r="J67" s="841">
        <f t="shared" si="6"/>
        <v>380</v>
      </c>
    </row>
    <row r="68" spans="1:12" s="15" customFormat="1" ht="19.5" customHeight="1">
      <c r="A68" s="438"/>
      <c r="B68" s="448" t="s">
        <v>580</v>
      </c>
      <c r="C68" s="438"/>
      <c r="D68" s="449"/>
      <c r="E68" s="508"/>
      <c r="F68" s="508"/>
      <c r="G68" s="509">
        <v>1</v>
      </c>
      <c r="H68" s="450">
        <f>SUM(H54:H67)*$G68</f>
        <v>977</v>
      </c>
      <c r="I68" s="450">
        <f>SUM(I54:I67)*$G68</f>
        <v>0</v>
      </c>
      <c r="J68" s="450">
        <f>SUM(J54:J67)*$G68</f>
        <v>21051</v>
      </c>
    </row>
    <row r="69" spans="1:12" ht="19.5" customHeight="1">
      <c r="A69" s="838"/>
      <c r="B69" s="1408" t="s">
        <v>557</v>
      </c>
      <c r="C69" s="1408"/>
      <c r="D69" s="1408"/>
      <c r="E69" s="1408"/>
      <c r="F69" s="1408"/>
      <c r="G69" s="1408"/>
      <c r="H69" s="1408"/>
      <c r="I69" s="1408"/>
      <c r="J69" s="1408"/>
    </row>
    <row r="70" spans="1:12">
      <c r="A70" s="856"/>
      <c r="B70" s="857"/>
      <c r="C70" s="856"/>
      <c r="D70" s="858"/>
      <c r="E70" s="859"/>
      <c r="F70" s="859"/>
      <c r="G70" s="859"/>
      <c r="H70" s="860"/>
      <c r="I70" s="860"/>
      <c r="J70" s="860"/>
    </row>
    <row r="71" spans="1:12" s="12" customFormat="1" ht="35.25" customHeight="1">
      <c r="A71" s="830" t="str">
        <f>L_CViec!A209</f>
        <v>IV</v>
      </c>
      <c r="B71" s="1552" t="str">
        <f>L_CViec!B209</f>
        <v>Định mức lao động đăng ký, cấp đổi Giấy chứng nhận đồng loạt tại xã, phường</v>
      </c>
      <c r="C71" s="1552"/>
      <c r="D71" s="1552"/>
      <c r="E71" s="1552"/>
      <c r="F71" s="1552"/>
      <c r="G71" s="1552"/>
      <c r="H71" s="831"/>
      <c r="I71" s="831"/>
      <c r="J71" s="832" t="s">
        <v>451</v>
      </c>
      <c r="K71" s="865"/>
      <c r="L71" s="5"/>
    </row>
    <row r="72" spans="1:12" s="12" customFormat="1" ht="67.5" customHeight="1">
      <c r="A72" s="830"/>
      <c r="B72" s="1171"/>
      <c r="C72" s="1171"/>
      <c r="D72" s="1171"/>
      <c r="E72" s="829" t="s">
        <v>980</v>
      </c>
      <c r="F72" s="829"/>
      <c r="G72" s="830" t="s">
        <v>364</v>
      </c>
      <c r="H72" s="829" t="s">
        <v>980</v>
      </c>
      <c r="I72" s="829"/>
      <c r="J72" s="830" t="s">
        <v>364</v>
      </c>
      <c r="K72" s="865"/>
      <c r="L72" s="5"/>
    </row>
    <row r="73" spans="1:12" s="43" customFormat="1" ht="18.75" customHeight="1">
      <c r="A73" s="838">
        <v>1</v>
      </c>
      <c r="B73" s="839" t="s">
        <v>118</v>
      </c>
      <c r="C73" s="838" t="s">
        <v>366</v>
      </c>
      <c r="D73" s="498">
        <f>'Gia_Dcu-Tbi-Vlieu'!$D$40</f>
        <v>35000</v>
      </c>
      <c r="E73" s="845">
        <v>0.02</v>
      </c>
      <c r="F73" s="845"/>
      <c r="G73" s="845">
        <v>2E-3</v>
      </c>
      <c r="H73" s="841">
        <f t="shared" ref="H73:H90" si="8">$D73*E73</f>
        <v>700</v>
      </c>
      <c r="I73" s="841">
        <f t="shared" ref="I73:I90" si="9">$D73*F73</f>
        <v>0</v>
      </c>
      <c r="J73" s="841">
        <f t="shared" ref="J73:J90" si="10">$D73*G73</f>
        <v>70</v>
      </c>
      <c r="K73" s="866"/>
      <c r="L73" s="5"/>
    </row>
    <row r="74" spans="1:12" ht="18.75" customHeight="1">
      <c r="A74" s="838">
        <v>2</v>
      </c>
      <c r="B74" s="839" t="s">
        <v>389</v>
      </c>
      <c r="C74" s="838" t="s">
        <v>390</v>
      </c>
      <c r="D74" s="498">
        <f>'Gia_Dcu-Tbi-Vlieu'!$D$42</f>
        <v>3500</v>
      </c>
      <c r="E74" s="845">
        <v>8.0000000000000002E-3</v>
      </c>
      <c r="F74" s="845"/>
      <c r="G74" s="845">
        <v>1E-3</v>
      </c>
      <c r="H74" s="841">
        <f t="shared" si="8"/>
        <v>28</v>
      </c>
      <c r="I74" s="841">
        <f t="shared" si="9"/>
        <v>0</v>
      </c>
      <c r="J74" s="841">
        <f t="shared" si="10"/>
        <v>3.5</v>
      </c>
      <c r="K74" s="867"/>
    </row>
    <row r="75" spans="1:12" ht="18.75" customHeight="1">
      <c r="A75" s="838">
        <v>3</v>
      </c>
      <c r="B75" s="839" t="s">
        <v>391</v>
      </c>
      <c r="C75" s="838" t="s">
        <v>390</v>
      </c>
      <c r="D75" s="498">
        <f>'Gia_Dcu-Tbi-Vlieu'!$D$43</f>
        <v>3000</v>
      </c>
      <c r="E75" s="845">
        <v>1.2999999999999999E-2</v>
      </c>
      <c r="F75" s="845"/>
      <c r="G75" s="845">
        <v>2E-3</v>
      </c>
      <c r="H75" s="841">
        <f t="shared" si="8"/>
        <v>39</v>
      </c>
      <c r="I75" s="841">
        <f t="shared" si="9"/>
        <v>0</v>
      </c>
      <c r="J75" s="841">
        <f t="shared" si="10"/>
        <v>6</v>
      </c>
      <c r="K75" s="867"/>
    </row>
    <row r="76" spans="1:12" ht="18.75" customHeight="1">
      <c r="A76" s="838">
        <v>4</v>
      </c>
      <c r="B76" s="839" t="s">
        <v>392</v>
      </c>
      <c r="C76" s="838" t="s">
        <v>390</v>
      </c>
      <c r="D76" s="498">
        <f>'Gia_Dcu-Tbi-Vlieu'!$D$44</f>
        <v>600000</v>
      </c>
      <c r="E76" s="845">
        <v>2E-3</v>
      </c>
      <c r="F76" s="845"/>
      <c r="G76" s="845">
        <v>1E-3</v>
      </c>
      <c r="H76" s="841">
        <f t="shared" si="8"/>
        <v>1200</v>
      </c>
      <c r="I76" s="841">
        <f t="shared" si="9"/>
        <v>0</v>
      </c>
      <c r="J76" s="841">
        <f t="shared" si="10"/>
        <v>600</v>
      </c>
      <c r="K76" s="867"/>
    </row>
    <row r="77" spans="1:12" ht="18.75" customHeight="1">
      <c r="A77" s="838">
        <v>5</v>
      </c>
      <c r="B77" s="839" t="s">
        <v>393</v>
      </c>
      <c r="C77" s="838" t="s">
        <v>390</v>
      </c>
      <c r="D77" s="498">
        <f>'Gia_Dcu-Tbi-Vlieu'!$D$45</f>
        <v>351000</v>
      </c>
      <c r="E77" s="845">
        <v>2E-3</v>
      </c>
      <c r="F77" s="845"/>
      <c r="G77" s="845">
        <v>4.0000000000000001E-3</v>
      </c>
      <c r="H77" s="841">
        <f t="shared" si="8"/>
        <v>702</v>
      </c>
      <c r="I77" s="841">
        <f t="shared" si="9"/>
        <v>0</v>
      </c>
      <c r="J77" s="841">
        <f t="shared" si="10"/>
        <v>1404</v>
      </c>
      <c r="K77" s="867"/>
    </row>
    <row r="78" spans="1:12" ht="18.75" customHeight="1">
      <c r="A78" s="838">
        <v>6</v>
      </c>
      <c r="B78" s="839" t="s">
        <v>394</v>
      </c>
      <c r="C78" s="838" t="s">
        <v>390</v>
      </c>
      <c r="D78" s="498">
        <f>'Gia_Dcu-Tbi-Vlieu'!$D$46</f>
        <v>1250000</v>
      </c>
      <c r="E78" s="845">
        <v>2E-3</v>
      </c>
      <c r="F78" s="845"/>
      <c r="G78" s="845">
        <v>1E-3</v>
      </c>
      <c r="H78" s="841">
        <f t="shared" si="8"/>
        <v>2500</v>
      </c>
      <c r="I78" s="841">
        <f t="shared" si="9"/>
        <v>0</v>
      </c>
      <c r="J78" s="841">
        <f t="shared" si="10"/>
        <v>1250</v>
      </c>
      <c r="K78" s="867"/>
    </row>
    <row r="79" spans="1:12" ht="18.75" customHeight="1">
      <c r="A79" s="1351">
        <v>7</v>
      </c>
      <c r="B79" s="1352" t="s">
        <v>956</v>
      </c>
      <c r="C79" s="1351" t="s">
        <v>147</v>
      </c>
      <c r="D79" s="1353">
        <f>'Gia_Dcu-Tbi-Vlieu'!$D$63:$F$63</f>
        <v>1000</v>
      </c>
      <c r="E79" s="1354">
        <v>1</v>
      </c>
      <c r="F79" s="1354"/>
      <c r="G79" s="1354"/>
      <c r="H79" s="1355">
        <f t="shared" si="8"/>
        <v>1000</v>
      </c>
      <c r="I79" s="1355"/>
      <c r="J79" s="1355"/>
      <c r="K79" s="867"/>
    </row>
    <row r="80" spans="1:12" ht="18.75" customHeight="1">
      <c r="A80" s="1351">
        <v>8</v>
      </c>
      <c r="B80" s="839" t="s">
        <v>145</v>
      </c>
      <c r="C80" s="838" t="s">
        <v>147</v>
      </c>
      <c r="D80" s="498">
        <f>'Gia_Dcu-Tbi-Vlieu'!$D$47</f>
        <v>8672</v>
      </c>
      <c r="E80" s="845">
        <v>1</v>
      </c>
      <c r="F80" s="845"/>
      <c r="G80" s="845"/>
      <c r="H80" s="841">
        <f t="shared" si="8"/>
        <v>8672</v>
      </c>
      <c r="I80" s="841">
        <f t="shared" si="9"/>
        <v>0</v>
      </c>
      <c r="J80" s="841">
        <f t="shared" si="10"/>
        <v>0</v>
      </c>
      <c r="K80" s="867"/>
    </row>
    <row r="81" spans="1:12" ht="18.75" customHeight="1">
      <c r="A81" s="838">
        <v>10</v>
      </c>
      <c r="B81" s="839" t="s">
        <v>395</v>
      </c>
      <c r="C81" s="838" t="s">
        <v>396</v>
      </c>
      <c r="D81" s="498">
        <f>'Gia_Dcu-Tbi-Vlieu'!$D$48</f>
        <v>64000</v>
      </c>
      <c r="E81" s="845">
        <v>8.0000000000000002E-3</v>
      </c>
      <c r="F81" s="845"/>
      <c r="G81" s="845">
        <v>2E-3</v>
      </c>
      <c r="H81" s="841">
        <f t="shared" si="8"/>
        <v>512</v>
      </c>
      <c r="I81" s="841">
        <f t="shared" si="9"/>
        <v>0</v>
      </c>
      <c r="J81" s="841">
        <f t="shared" si="10"/>
        <v>128</v>
      </c>
      <c r="K81" s="867"/>
    </row>
    <row r="82" spans="1:12" ht="18.75" customHeight="1">
      <c r="A82" s="838">
        <v>11</v>
      </c>
      <c r="B82" s="839" t="s">
        <v>397</v>
      </c>
      <c r="C82" s="838" t="s">
        <v>396</v>
      </c>
      <c r="D82" s="498">
        <f>'Gia_Dcu-Tbi-Vlieu'!$D$49</f>
        <v>132000</v>
      </c>
      <c r="E82" s="845">
        <v>1E-3</v>
      </c>
      <c r="F82" s="845"/>
      <c r="G82" s="845">
        <v>1.4E-2</v>
      </c>
      <c r="H82" s="841">
        <f t="shared" si="8"/>
        <v>132</v>
      </c>
      <c r="I82" s="841">
        <f t="shared" si="9"/>
        <v>0</v>
      </c>
      <c r="J82" s="841">
        <f t="shared" si="10"/>
        <v>1848</v>
      </c>
      <c r="K82" s="867"/>
    </row>
    <row r="83" spans="1:12" s="43" customFormat="1" ht="18.75" customHeight="1">
      <c r="A83" s="838">
        <v>13</v>
      </c>
      <c r="B83" s="839" t="s">
        <v>43</v>
      </c>
      <c r="C83" s="838" t="s">
        <v>398</v>
      </c>
      <c r="D83" s="498">
        <f>'Gia_Dcu-Tbi-Vlieu'!$D$50</f>
        <v>10400</v>
      </c>
      <c r="E83" s="845">
        <v>0.02</v>
      </c>
      <c r="F83" s="845"/>
      <c r="G83" s="845">
        <v>4.0000000000000001E-3</v>
      </c>
      <c r="H83" s="841">
        <f t="shared" si="8"/>
        <v>208</v>
      </c>
      <c r="I83" s="841">
        <f t="shared" si="9"/>
        <v>0</v>
      </c>
      <c r="J83" s="841">
        <f t="shared" si="10"/>
        <v>41.6</v>
      </c>
      <c r="K83" s="866"/>
      <c r="L83" s="5"/>
    </row>
    <row r="84" spans="1:12" ht="18.75" customHeight="1">
      <c r="A84" s="838">
        <v>14</v>
      </c>
      <c r="B84" s="839" t="s">
        <v>399</v>
      </c>
      <c r="C84" s="838" t="s">
        <v>366</v>
      </c>
      <c r="D84" s="498">
        <f>'Gia_Dcu-Tbi-Vlieu'!$D$51</f>
        <v>20000</v>
      </c>
      <c r="E84" s="845">
        <v>8.0000000000000002E-3</v>
      </c>
      <c r="F84" s="845"/>
      <c r="G84" s="845">
        <v>1E-3</v>
      </c>
      <c r="H84" s="841">
        <f t="shared" si="8"/>
        <v>160</v>
      </c>
      <c r="I84" s="841">
        <f t="shared" si="9"/>
        <v>0</v>
      </c>
      <c r="J84" s="841">
        <f t="shared" si="10"/>
        <v>20</v>
      </c>
      <c r="K84" s="867"/>
    </row>
    <row r="85" spans="1:12" ht="18.75" customHeight="1">
      <c r="A85" s="838">
        <v>15</v>
      </c>
      <c r="B85" s="839" t="s">
        <v>400</v>
      </c>
      <c r="C85" s="838" t="s">
        <v>366</v>
      </c>
      <c r="D85" s="498">
        <f>'Gia_Dcu-Tbi-Vlieu'!$D$52</f>
        <v>40000</v>
      </c>
      <c r="E85" s="845">
        <v>8.0000000000000002E-3</v>
      </c>
      <c r="F85" s="845"/>
      <c r="G85" s="845">
        <v>1E-3</v>
      </c>
      <c r="H85" s="841">
        <f t="shared" si="8"/>
        <v>320</v>
      </c>
      <c r="I85" s="841">
        <f t="shared" si="9"/>
        <v>0</v>
      </c>
      <c r="J85" s="841">
        <f t="shared" si="10"/>
        <v>40</v>
      </c>
      <c r="K85" s="867"/>
    </row>
    <row r="86" spans="1:12" ht="18.75" customHeight="1">
      <c r="A86" s="838">
        <v>16</v>
      </c>
      <c r="B86" s="839" t="s">
        <v>401</v>
      </c>
      <c r="C86" s="838" t="s">
        <v>402</v>
      </c>
      <c r="D86" s="498">
        <f>'Gia_Dcu-Tbi-Vlieu'!$D$53</f>
        <v>760</v>
      </c>
      <c r="E86" s="845"/>
      <c r="F86" s="845"/>
      <c r="G86" s="845">
        <v>3.4000000000000002E-2</v>
      </c>
      <c r="H86" s="841">
        <f t="shared" si="8"/>
        <v>0</v>
      </c>
      <c r="I86" s="841">
        <f t="shared" si="9"/>
        <v>0</v>
      </c>
      <c r="J86" s="841">
        <f t="shared" si="10"/>
        <v>25.840000000000003</v>
      </c>
      <c r="K86" s="867"/>
    </row>
    <row r="87" spans="1:12" ht="18.75" customHeight="1">
      <c r="A87" s="838">
        <v>17</v>
      </c>
      <c r="B87" s="839" t="s">
        <v>405</v>
      </c>
      <c r="C87" s="838" t="s">
        <v>366</v>
      </c>
      <c r="D87" s="498">
        <f>'Gia_Dcu-Tbi-Vlieu'!$D$58</f>
        <v>2950</v>
      </c>
      <c r="E87" s="845">
        <v>1</v>
      </c>
      <c r="F87" s="845"/>
      <c r="G87" s="845"/>
      <c r="H87" s="841">
        <f t="shared" si="8"/>
        <v>2950</v>
      </c>
      <c r="I87" s="841">
        <f t="shared" si="9"/>
        <v>0</v>
      </c>
      <c r="J87" s="841">
        <f t="shared" si="10"/>
        <v>0</v>
      </c>
      <c r="K87" s="867"/>
    </row>
    <row r="88" spans="1:12" ht="18.75" customHeight="1">
      <c r="A88" s="838">
        <v>18</v>
      </c>
      <c r="B88" s="839" t="s">
        <v>406</v>
      </c>
      <c r="C88" s="838" t="s">
        <v>390</v>
      </c>
      <c r="D88" s="498">
        <f>'Gia_Dcu-Tbi-Vlieu'!$D$60</f>
        <v>3150000</v>
      </c>
      <c r="E88" s="845"/>
      <c r="F88" s="845"/>
      <c r="G88" s="845">
        <v>1E-3</v>
      </c>
      <c r="H88" s="841">
        <f t="shared" si="8"/>
        <v>0</v>
      </c>
      <c r="I88" s="841">
        <f t="shared" si="9"/>
        <v>0</v>
      </c>
      <c r="J88" s="841">
        <f t="shared" si="10"/>
        <v>3150</v>
      </c>
      <c r="K88" s="867"/>
    </row>
    <row r="89" spans="1:12" ht="18.75" customHeight="1">
      <c r="A89" s="838">
        <v>19</v>
      </c>
      <c r="B89" s="839" t="s">
        <v>407</v>
      </c>
      <c r="C89" s="838" t="s">
        <v>147</v>
      </c>
      <c r="D89" s="498">
        <f>'Gia_Dcu-Tbi-Vlieu'!$D$61</f>
        <v>19800.000000000004</v>
      </c>
      <c r="E89" s="845">
        <v>2.4E-2</v>
      </c>
      <c r="F89" s="845"/>
      <c r="G89" s="845">
        <v>7.1999999999999995E-2</v>
      </c>
      <c r="H89" s="841">
        <f t="shared" si="8"/>
        <v>475.2000000000001</v>
      </c>
      <c r="I89" s="841">
        <f t="shared" si="9"/>
        <v>0</v>
      </c>
      <c r="J89" s="841">
        <f t="shared" si="10"/>
        <v>1425.6000000000001</v>
      </c>
      <c r="K89" s="867"/>
    </row>
    <row r="90" spans="1:12" ht="18.75" customHeight="1">
      <c r="A90" s="838">
        <v>20</v>
      </c>
      <c r="B90" s="839" t="s">
        <v>408</v>
      </c>
      <c r="C90" s="838" t="s">
        <v>390</v>
      </c>
      <c r="D90" s="498">
        <f>'Gia_Dcu-Tbi-Vlieu'!$D$62</f>
        <v>3150000</v>
      </c>
      <c r="E90" s="845">
        <v>1E-3</v>
      </c>
      <c r="F90" s="845"/>
      <c r="G90" s="845"/>
      <c r="H90" s="841">
        <f t="shared" si="8"/>
        <v>3150</v>
      </c>
      <c r="I90" s="841">
        <f t="shared" si="9"/>
        <v>0</v>
      </c>
      <c r="J90" s="841">
        <f t="shared" si="10"/>
        <v>0</v>
      </c>
      <c r="K90" s="867"/>
    </row>
    <row r="91" spans="1:12" s="15" customFormat="1" ht="18.75" customHeight="1">
      <c r="A91" s="438"/>
      <c r="B91" s="448" t="s">
        <v>580</v>
      </c>
      <c r="C91" s="438"/>
      <c r="D91" s="449"/>
      <c r="E91" s="508"/>
      <c r="F91" s="508"/>
      <c r="G91" s="509">
        <v>1</v>
      </c>
      <c r="H91" s="450">
        <f>SUM(H73:H90)*$G91</f>
        <v>22748.2</v>
      </c>
      <c r="I91" s="450">
        <f>SUM(I73:I90)*$G91</f>
        <v>0</v>
      </c>
      <c r="J91" s="450">
        <f>SUM(J73:J90)*$G91</f>
        <v>10012.540000000001</v>
      </c>
      <c r="K91" s="868"/>
    </row>
    <row r="92" spans="1:12" ht="18.75" customHeight="1">
      <c r="A92" s="838"/>
      <c r="B92" s="852" t="s">
        <v>332</v>
      </c>
      <c r="C92" s="838"/>
      <c r="D92" s="840"/>
      <c r="E92" s="853"/>
      <c r="F92" s="853"/>
      <c r="G92" s="853"/>
      <c r="H92" s="841"/>
      <c r="I92" s="841"/>
      <c r="J92" s="841"/>
      <c r="K92" s="867"/>
    </row>
    <row r="93" spans="1:12" ht="37.5" customHeight="1">
      <c r="A93" s="838"/>
      <c r="B93" s="1589" t="s">
        <v>416</v>
      </c>
      <c r="C93" s="1589"/>
      <c r="D93" s="1589"/>
      <c r="E93" s="853"/>
      <c r="F93" s="861"/>
      <c r="G93" s="853"/>
      <c r="H93" s="841"/>
      <c r="I93" s="841"/>
      <c r="J93" s="841"/>
      <c r="K93" s="867"/>
    </row>
    <row r="94" spans="1:12" ht="45" customHeight="1">
      <c r="A94" s="838"/>
      <c r="B94" s="1589" t="s">
        <v>449</v>
      </c>
      <c r="C94" s="1589"/>
      <c r="D94" s="1589"/>
      <c r="E94" s="853"/>
      <c r="F94" s="853"/>
      <c r="G94" s="853"/>
      <c r="H94" s="841"/>
      <c r="I94" s="841"/>
      <c r="J94" s="841"/>
      <c r="K94" s="867"/>
    </row>
    <row r="95" spans="1:12" ht="51.75" customHeight="1">
      <c r="A95" s="838"/>
      <c r="B95" s="1589" t="s">
        <v>450</v>
      </c>
      <c r="C95" s="1589"/>
      <c r="D95" s="1589"/>
      <c r="E95" s="862">
        <v>0.02</v>
      </c>
      <c r="F95" s="863">
        <v>4.0000000000000001E-3</v>
      </c>
      <c r="G95" s="853"/>
      <c r="H95" s="841">
        <f>$D$81*$E95+$D$76*$F95</f>
        <v>3680</v>
      </c>
      <c r="I95" s="841">
        <f>$D$81*$E95+$D$76*$F95</f>
        <v>3680</v>
      </c>
      <c r="J95" s="841">
        <f>$D$81*$E95+$D$76*$F95</f>
        <v>3680</v>
      </c>
      <c r="K95" s="867"/>
    </row>
    <row r="96" spans="1:12">
      <c r="A96" s="838"/>
      <c r="B96" s="839"/>
      <c r="C96" s="838"/>
      <c r="D96" s="840"/>
      <c r="E96" s="851"/>
      <c r="F96" s="851"/>
      <c r="G96" s="851"/>
      <c r="H96" s="841"/>
      <c r="I96" s="841"/>
      <c r="J96" s="841"/>
      <c r="K96" s="867"/>
    </row>
    <row r="97" spans="1:12" s="12" customFormat="1" ht="33" customHeight="1">
      <c r="A97" s="830" t="str">
        <f>L_CViec!A276</f>
        <v>V</v>
      </c>
      <c r="B97" s="1552" t="str">
        <f>L_CViec!B276</f>
        <v>Đăng ký, cấp đổi, cấp lại Giấy chứng nhận riêng lẻ đối với hộ gia đình, cá nhân, cộng đồng dân cư, người gốc Việt Nam định cư ở nước ngoài.</v>
      </c>
      <c r="C97" s="1552"/>
      <c r="D97" s="1552"/>
      <c r="E97" s="1552"/>
      <c r="F97" s="1552"/>
      <c r="G97" s="1552"/>
      <c r="H97" s="831"/>
      <c r="I97" s="831"/>
      <c r="J97" s="832" t="s">
        <v>461</v>
      </c>
      <c r="K97" s="865"/>
      <c r="L97" s="5"/>
    </row>
    <row r="98" spans="1:12" s="12" customFormat="1" ht="47.25">
      <c r="A98" s="830"/>
      <c r="B98" s="1171"/>
      <c r="C98" s="1171"/>
      <c r="D98" s="1171"/>
      <c r="E98" s="830" t="s">
        <v>364</v>
      </c>
      <c r="F98" s="830" t="s">
        <v>980</v>
      </c>
      <c r="G98" s="1171"/>
      <c r="H98" s="830" t="s">
        <v>364</v>
      </c>
      <c r="I98" s="830" t="s">
        <v>980</v>
      </c>
      <c r="J98" s="1171"/>
      <c r="K98" s="865"/>
      <c r="L98" s="5"/>
    </row>
    <row r="99" spans="1:12" s="43" customFormat="1">
      <c r="A99" s="838">
        <v>1</v>
      </c>
      <c r="B99" s="839" t="s">
        <v>118</v>
      </c>
      <c r="C99" s="838" t="s">
        <v>366</v>
      </c>
      <c r="D99" s="498">
        <f>'Gia_Dcu-Tbi-Vlieu'!$D$40</f>
        <v>35000</v>
      </c>
      <c r="E99" s="845">
        <v>8.0000000000000002E-3</v>
      </c>
      <c r="F99" s="845">
        <v>0.03</v>
      </c>
      <c r="G99" s="845"/>
      <c r="H99" s="841">
        <f t="shared" ref="H99:H113" si="11">$D99*E99</f>
        <v>280</v>
      </c>
      <c r="I99" s="841">
        <f t="shared" ref="I99:I113" si="12">$D99*F99</f>
        <v>1050</v>
      </c>
      <c r="J99" s="841">
        <f t="shared" ref="J99:J113" si="13">$D99*G99</f>
        <v>0</v>
      </c>
      <c r="K99" s="866"/>
      <c r="L99" s="5"/>
    </row>
    <row r="100" spans="1:12">
      <c r="A100" s="838">
        <v>2</v>
      </c>
      <c r="B100" s="839" t="s">
        <v>389</v>
      </c>
      <c r="C100" s="838" t="s">
        <v>390</v>
      </c>
      <c r="D100" s="498">
        <f>'Gia_Dcu-Tbi-Vlieu'!$D$42</f>
        <v>3500</v>
      </c>
      <c r="E100" s="845"/>
      <c r="F100" s="845">
        <v>3.0000000000000001E-3</v>
      </c>
      <c r="G100" s="845"/>
      <c r="H100" s="841">
        <f t="shared" si="11"/>
        <v>0</v>
      </c>
      <c r="I100" s="841">
        <f t="shared" si="12"/>
        <v>10.5</v>
      </c>
      <c r="J100" s="841">
        <f t="shared" si="13"/>
        <v>0</v>
      </c>
      <c r="K100" s="867"/>
    </row>
    <row r="101" spans="1:12">
      <c r="A101" s="838">
        <v>3</v>
      </c>
      <c r="B101" s="839" t="s">
        <v>391</v>
      </c>
      <c r="C101" s="838" t="s">
        <v>390</v>
      </c>
      <c r="D101" s="498">
        <f>'Gia_Dcu-Tbi-Vlieu'!$D$43</f>
        <v>3000</v>
      </c>
      <c r="E101" s="845"/>
      <c r="F101" s="845">
        <v>6.0000000000000001E-3</v>
      </c>
      <c r="G101" s="845"/>
      <c r="H101" s="841">
        <f t="shared" si="11"/>
        <v>0</v>
      </c>
      <c r="I101" s="841">
        <f t="shared" si="12"/>
        <v>18</v>
      </c>
      <c r="J101" s="841">
        <f t="shared" si="13"/>
        <v>0</v>
      </c>
      <c r="K101" s="867"/>
    </row>
    <row r="102" spans="1:12">
      <c r="A102" s="838">
        <v>4</v>
      </c>
      <c r="B102" s="839" t="s">
        <v>392</v>
      </c>
      <c r="C102" s="838" t="s">
        <v>390</v>
      </c>
      <c r="D102" s="498">
        <f>'Gia_Dcu-Tbi-Vlieu'!$D$44</f>
        <v>600000</v>
      </c>
      <c r="E102" s="845"/>
      <c r="F102" s="845">
        <v>2E-3</v>
      </c>
      <c r="G102" s="845"/>
      <c r="H102" s="841">
        <f t="shared" si="11"/>
        <v>0</v>
      </c>
      <c r="I102" s="841">
        <f t="shared" si="12"/>
        <v>1200</v>
      </c>
      <c r="J102" s="841">
        <f t="shared" si="13"/>
        <v>0</v>
      </c>
      <c r="K102" s="867"/>
    </row>
    <row r="103" spans="1:12">
      <c r="A103" s="838">
        <v>5</v>
      </c>
      <c r="B103" s="839" t="s">
        <v>393</v>
      </c>
      <c r="C103" s="838" t="s">
        <v>390</v>
      </c>
      <c r="D103" s="498">
        <f>'Gia_Dcu-Tbi-Vlieu'!$D$45</f>
        <v>351000</v>
      </c>
      <c r="E103" s="845"/>
      <c r="F103" s="845">
        <v>2E-3</v>
      </c>
      <c r="G103" s="845"/>
      <c r="H103" s="841">
        <f t="shared" si="11"/>
        <v>0</v>
      </c>
      <c r="I103" s="841">
        <f t="shared" si="12"/>
        <v>702</v>
      </c>
      <c r="J103" s="841">
        <f t="shared" si="13"/>
        <v>0</v>
      </c>
      <c r="K103" s="867"/>
    </row>
    <row r="104" spans="1:12">
      <c r="A104" s="838">
        <v>6</v>
      </c>
      <c r="B104" s="839" t="s">
        <v>394</v>
      </c>
      <c r="C104" s="838" t="s">
        <v>390</v>
      </c>
      <c r="D104" s="498">
        <f>'Gia_Dcu-Tbi-Vlieu'!$D$46</f>
        <v>1250000</v>
      </c>
      <c r="E104" s="845"/>
      <c r="F104" s="845">
        <v>0</v>
      </c>
      <c r="G104" s="845"/>
      <c r="H104" s="841">
        <f t="shared" si="11"/>
        <v>0</v>
      </c>
      <c r="I104" s="841">
        <f t="shared" si="12"/>
        <v>0</v>
      </c>
      <c r="J104" s="841">
        <f t="shared" si="13"/>
        <v>0</v>
      </c>
      <c r="K104" s="867"/>
    </row>
    <row r="105" spans="1:12">
      <c r="A105" s="1351">
        <v>7</v>
      </c>
      <c r="B105" s="1352" t="s">
        <v>956</v>
      </c>
      <c r="C105" s="1351" t="s">
        <v>147</v>
      </c>
      <c r="D105" s="1353">
        <f>'Gia_Dcu-Tbi-Vlieu'!$D$63:$F$63</f>
        <v>1000</v>
      </c>
      <c r="E105" s="1354"/>
      <c r="F105" s="1354">
        <v>1</v>
      </c>
      <c r="G105" s="1354"/>
      <c r="H105" s="1355"/>
      <c r="I105" s="1355">
        <f t="shared" si="12"/>
        <v>1000</v>
      </c>
      <c r="J105" s="1355"/>
      <c r="K105" s="867"/>
    </row>
    <row r="106" spans="1:12">
      <c r="A106" s="1351">
        <v>8</v>
      </c>
      <c r="B106" s="839" t="s">
        <v>145</v>
      </c>
      <c r="C106" s="838" t="s">
        <v>147</v>
      </c>
      <c r="D106" s="498">
        <f>'Gia_Dcu-Tbi-Vlieu'!$D$47</f>
        <v>8672</v>
      </c>
      <c r="E106" s="845"/>
      <c r="F106" s="845">
        <v>1</v>
      </c>
      <c r="G106" s="845"/>
      <c r="H106" s="841">
        <f t="shared" si="11"/>
        <v>0</v>
      </c>
      <c r="I106" s="841">
        <f t="shared" si="12"/>
        <v>8672</v>
      </c>
      <c r="J106" s="841">
        <f t="shared" si="13"/>
        <v>0</v>
      </c>
      <c r="K106" s="867"/>
    </row>
    <row r="107" spans="1:12">
      <c r="A107" s="838">
        <v>10</v>
      </c>
      <c r="B107" s="839" t="s">
        <v>395</v>
      </c>
      <c r="C107" s="838" t="s">
        <v>396</v>
      </c>
      <c r="D107" s="498">
        <f>'Gia_Dcu-Tbi-Vlieu'!$D$48</f>
        <v>64000</v>
      </c>
      <c r="E107" s="845">
        <v>8.9999999999999993E-3</v>
      </c>
      <c r="F107" s="845">
        <v>6.2E-2</v>
      </c>
      <c r="G107" s="845"/>
      <c r="H107" s="841">
        <f t="shared" si="11"/>
        <v>576</v>
      </c>
      <c r="I107" s="841">
        <f t="shared" si="12"/>
        <v>3968</v>
      </c>
      <c r="J107" s="841">
        <f t="shared" si="13"/>
        <v>0</v>
      </c>
      <c r="K107" s="867"/>
    </row>
    <row r="108" spans="1:12">
      <c r="A108" s="838">
        <v>11</v>
      </c>
      <c r="B108" s="839" t="s">
        <v>397</v>
      </c>
      <c r="C108" s="838" t="s">
        <v>396</v>
      </c>
      <c r="D108" s="498">
        <f>'Gia_Dcu-Tbi-Vlieu'!$D$49</f>
        <v>132000</v>
      </c>
      <c r="E108" s="845"/>
      <c r="F108" s="845">
        <v>4.0000000000000001E-3</v>
      </c>
      <c r="G108" s="845"/>
      <c r="H108" s="841">
        <f t="shared" si="11"/>
        <v>0</v>
      </c>
      <c r="I108" s="841">
        <f t="shared" si="12"/>
        <v>528</v>
      </c>
      <c r="J108" s="841">
        <f t="shared" si="13"/>
        <v>0</v>
      </c>
      <c r="K108" s="867"/>
    </row>
    <row r="109" spans="1:12" s="43" customFormat="1">
      <c r="A109" s="838">
        <v>13</v>
      </c>
      <c r="B109" s="839" t="s">
        <v>43</v>
      </c>
      <c r="C109" s="838" t="s">
        <v>398</v>
      </c>
      <c r="D109" s="498">
        <f>'Gia_Dcu-Tbi-Vlieu'!$D$50</f>
        <v>10400</v>
      </c>
      <c r="E109" s="845">
        <v>1.4999999999999999E-2</v>
      </c>
      <c r="F109" s="845">
        <v>0.06</v>
      </c>
      <c r="G109" s="845"/>
      <c r="H109" s="841">
        <f t="shared" si="11"/>
        <v>156</v>
      </c>
      <c r="I109" s="841">
        <f t="shared" si="12"/>
        <v>624</v>
      </c>
      <c r="J109" s="841">
        <f t="shared" si="13"/>
        <v>0</v>
      </c>
      <c r="K109" s="866"/>
      <c r="L109" s="5"/>
    </row>
    <row r="110" spans="1:12">
      <c r="A110" s="838">
        <v>14</v>
      </c>
      <c r="B110" s="839" t="s">
        <v>399</v>
      </c>
      <c r="C110" s="838" t="s">
        <v>366</v>
      </c>
      <c r="D110" s="498">
        <f>'Gia_Dcu-Tbi-Vlieu'!$D$51</f>
        <v>20000</v>
      </c>
      <c r="E110" s="845">
        <v>8.0000000000000002E-3</v>
      </c>
      <c r="F110" s="845">
        <v>0.02</v>
      </c>
      <c r="G110" s="845"/>
      <c r="H110" s="841">
        <f t="shared" si="11"/>
        <v>160</v>
      </c>
      <c r="I110" s="841">
        <f t="shared" si="12"/>
        <v>400</v>
      </c>
      <c r="J110" s="841">
        <f t="shared" si="13"/>
        <v>0</v>
      </c>
      <c r="K110" s="867"/>
    </row>
    <row r="111" spans="1:12">
      <c r="A111" s="838">
        <v>15</v>
      </c>
      <c r="B111" s="839" t="s">
        <v>400</v>
      </c>
      <c r="C111" s="838" t="s">
        <v>366</v>
      </c>
      <c r="D111" s="498">
        <f>'Gia_Dcu-Tbi-Vlieu'!$D$52</f>
        <v>40000</v>
      </c>
      <c r="E111" s="845"/>
      <c r="F111" s="845">
        <v>5.0000000000000001E-3</v>
      </c>
      <c r="G111" s="845"/>
      <c r="H111" s="841">
        <f t="shared" si="11"/>
        <v>0</v>
      </c>
      <c r="I111" s="841">
        <f t="shared" si="12"/>
        <v>200</v>
      </c>
      <c r="J111" s="841">
        <f t="shared" si="13"/>
        <v>0</v>
      </c>
      <c r="K111" s="867"/>
    </row>
    <row r="112" spans="1:12" hidden="1">
      <c r="A112" s="838"/>
      <c r="B112" s="839"/>
      <c r="C112" s="838"/>
      <c r="D112" s="498"/>
      <c r="E112" s="845"/>
      <c r="F112" s="845"/>
      <c r="G112" s="845"/>
      <c r="H112" s="841"/>
      <c r="I112" s="841"/>
      <c r="J112" s="841"/>
      <c r="K112" s="867"/>
    </row>
    <row r="113" spans="1:12">
      <c r="A113" s="838">
        <v>17</v>
      </c>
      <c r="B113" s="839" t="s">
        <v>434</v>
      </c>
      <c r="C113" s="1351" t="s">
        <v>147</v>
      </c>
      <c r="D113" s="498">
        <f>'Gia_Dcu-Tbi-Vlieu'!$D$54</f>
        <v>380</v>
      </c>
      <c r="E113" s="845"/>
      <c r="F113" s="845">
        <v>1</v>
      </c>
      <c r="G113" s="845"/>
      <c r="H113" s="841">
        <f t="shared" si="11"/>
        <v>0</v>
      </c>
      <c r="I113" s="841">
        <f t="shared" si="12"/>
        <v>380</v>
      </c>
      <c r="J113" s="841">
        <f t="shared" si="13"/>
        <v>0</v>
      </c>
      <c r="K113" s="867"/>
    </row>
    <row r="114" spans="1:12" s="15" customFormat="1">
      <c r="A114" s="438"/>
      <c r="B114" s="448" t="s">
        <v>580</v>
      </c>
      <c r="C114" s="438"/>
      <c r="D114" s="449"/>
      <c r="E114" s="508"/>
      <c r="F114" s="508"/>
      <c r="G114" s="509">
        <v>1</v>
      </c>
      <c r="H114" s="450">
        <f>SUM(H99:H113)*$G114</f>
        <v>1172</v>
      </c>
      <c r="I114" s="450">
        <f>SUM(I99:I113)*$G114</f>
        <v>18752.5</v>
      </c>
      <c r="J114" s="450">
        <f>SUM(J99:J113)*$G114</f>
        <v>0</v>
      </c>
      <c r="K114" s="868"/>
    </row>
    <row r="115" spans="1:12" ht="34.5" customHeight="1">
      <c r="A115" s="838"/>
      <c r="B115" s="1408" t="s">
        <v>558</v>
      </c>
      <c r="C115" s="1408"/>
      <c r="D115" s="1408"/>
      <c r="E115" s="1408"/>
      <c r="F115" s="1408"/>
      <c r="G115" s="1408"/>
      <c r="H115" s="841"/>
      <c r="I115" s="841"/>
      <c r="J115" s="841"/>
      <c r="K115" s="867"/>
    </row>
    <row r="116" spans="1:12">
      <c r="A116" s="838"/>
      <c r="B116" s="839"/>
      <c r="C116" s="838"/>
      <c r="D116" s="840"/>
      <c r="E116" s="864"/>
      <c r="F116" s="864"/>
      <c r="G116" s="864"/>
      <c r="H116" s="841"/>
      <c r="I116" s="841"/>
      <c r="J116" s="841"/>
      <c r="K116" s="867"/>
    </row>
    <row r="117" spans="1:12" s="12" customFormat="1" ht="49.5" customHeight="1">
      <c r="A117" s="830" t="str">
        <f>L_CViec!A334</f>
        <v>VI</v>
      </c>
      <c r="B117" s="1552" t="str">
        <f>L_CViec!B334</f>
        <v>Đăng ký, cấp đổi, cấp lại Giấy chứng nhận riêng lẻ đối với tổ chức, tổ chức tôn giáo, tổ chức tôn giáo trực thuộc, tổ chức nước ngoài có chức năng ngoại giao, tổ chức kinh tế có vốn đầu tư nước ngoài, tổ chức nước ngoài, cá nhân nước ngoài</v>
      </c>
      <c r="C117" s="1552"/>
      <c r="D117" s="1552"/>
      <c r="E117" s="1552"/>
      <c r="F117" s="1552"/>
      <c r="G117" s="1552">
        <v>0.04</v>
      </c>
      <c r="H117" s="831"/>
      <c r="I117" s="831"/>
      <c r="J117" s="832" t="s">
        <v>465</v>
      </c>
      <c r="K117" s="865"/>
      <c r="L117" s="5"/>
    </row>
    <row r="118" spans="1:12" s="12" customFormat="1" ht="49.5" customHeight="1">
      <c r="A118" s="830"/>
      <c r="B118" s="1171"/>
      <c r="C118" s="1171"/>
      <c r="D118" s="1171"/>
      <c r="E118" s="830" t="s">
        <v>980</v>
      </c>
      <c r="F118" s="1171"/>
      <c r="G118" s="830" t="s">
        <v>364</v>
      </c>
      <c r="H118" s="830" t="s">
        <v>980</v>
      </c>
      <c r="I118" s="1171"/>
      <c r="J118" s="830" t="s">
        <v>364</v>
      </c>
      <c r="K118" s="865"/>
      <c r="L118" s="5"/>
    </row>
    <row r="119" spans="1:12" s="43" customFormat="1">
      <c r="A119" s="838">
        <v>1</v>
      </c>
      <c r="B119" s="839" t="s">
        <v>118</v>
      </c>
      <c r="C119" s="838" t="s">
        <v>366</v>
      </c>
      <c r="D119" s="498">
        <f>'Gia_Dcu-Tbi-Vlieu'!$D$40</f>
        <v>35000</v>
      </c>
      <c r="E119" s="845">
        <v>0.01</v>
      </c>
      <c r="F119" s="845"/>
      <c r="G119" s="845">
        <v>0.04</v>
      </c>
      <c r="H119" s="841">
        <f t="shared" ref="H119:H131" si="14">$D119*E119</f>
        <v>350</v>
      </c>
      <c r="I119" s="841">
        <f t="shared" ref="I119:I131" si="15">$D119*F119</f>
        <v>0</v>
      </c>
      <c r="J119" s="841">
        <f t="shared" ref="J119:J131" si="16">$D119*G119</f>
        <v>1400</v>
      </c>
      <c r="K119" s="866"/>
      <c r="L119" s="5"/>
    </row>
    <row r="120" spans="1:12">
      <c r="A120" s="838">
        <v>2</v>
      </c>
      <c r="B120" s="839" t="s">
        <v>389</v>
      </c>
      <c r="C120" s="838" t="s">
        <v>390</v>
      </c>
      <c r="D120" s="498">
        <f>'Gia_Dcu-Tbi-Vlieu'!$D$42</f>
        <v>3500</v>
      </c>
      <c r="E120" s="845"/>
      <c r="F120" s="845"/>
      <c r="G120" s="845">
        <v>4.0000000000000001E-3</v>
      </c>
      <c r="H120" s="841">
        <f t="shared" si="14"/>
        <v>0</v>
      </c>
      <c r="I120" s="841">
        <f t="shared" si="15"/>
        <v>0</v>
      </c>
      <c r="J120" s="841">
        <f t="shared" si="16"/>
        <v>14</v>
      </c>
      <c r="K120" s="867"/>
    </row>
    <row r="121" spans="1:12">
      <c r="A121" s="838">
        <v>3</v>
      </c>
      <c r="B121" s="839" t="s">
        <v>391</v>
      </c>
      <c r="C121" s="838" t="s">
        <v>390</v>
      </c>
      <c r="D121" s="498">
        <f>'Gia_Dcu-Tbi-Vlieu'!$D$43</f>
        <v>3000</v>
      </c>
      <c r="E121" s="845"/>
      <c r="F121" s="845"/>
      <c r="G121" s="845">
        <v>8.0000000000000002E-3</v>
      </c>
      <c r="H121" s="841">
        <f t="shared" si="14"/>
        <v>0</v>
      </c>
      <c r="I121" s="841">
        <f t="shared" si="15"/>
        <v>0</v>
      </c>
      <c r="J121" s="841">
        <f t="shared" si="16"/>
        <v>24</v>
      </c>
      <c r="K121" s="867"/>
    </row>
    <row r="122" spans="1:12">
      <c r="A122" s="838">
        <v>4</v>
      </c>
      <c r="B122" s="839" t="s">
        <v>392</v>
      </c>
      <c r="C122" s="838" t="s">
        <v>390</v>
      </c>
      <c r="D122" s="498">
        <f>'Gia_Dcu-Tbi-Vlieu'!$D$44</f>
        <v>600000</v>
      </c>
      <c r="E122" s="845"/>
      <c r="F122" s="845"/>
      <c r="G122" s="845">
        <v>2E-3</v>
      </c>
      <c r="H122" s="841">
        <f t="shared" si="14"/>
        <v>0</v>
      </c>
      <c r="I122" s="841">
        <f t="shared" si="15"/>
        <v>0</v>
      </c>
      <c r="J122" s="841">
        <f t="shared" si="16"/>
        <v>1200</v>
      </c>
      <c r="K122" s="867"/>
    </row>
    <row r="123" spans="1:12">
      <c r="A123" s="838">
        <v>5</v>
      </c>
      <c r="B123" s="839" t="s">
        <v>393</v>
      </c>
      <c r="C123" s="838" t="s">
        <v>390</v>
      </c>
      <c r="D123" s="498">
        <f>'Gia_Dcu-Tbi-Vlieu'!$D$45</f>
        <v>351000</v>
      </c>
      <c r="E123" s="845"/>
      <c r="F123" s="845"/>
      <c r="G123" s="845">
        <v>3.0000000000000001E-3</v>
      </c>
      <c r="H123" s="841">
        <f t="shared" si="14"/>
        <v>0</v>
      </c>
      <c r="I123" s="841">
        <f t="shared" si="15"/>
        <v>0</v>
      </c>
      <c r="J123" s="841">
        <f t="shared" si="16"/>
        <v>1053</v>
      </c>
      <c r="K123" s="867"/>
    </row>
    <row r="124" spans="1:12">
      <c r="A124" s="838">
        <v>6</v>
      </c>
      <c r="B124" s="839" t="s">
        <v>394</v>
      </c>
      <c r="C124" s="838" t="s">
        <v>390</v>
      </c>
      <c r="D124" s="498">
        <f>'Gia_Dcu-Tbi-Vlieu'!$D$46</f>
        <v>1250000</v>
      </c>
      <c r="E124" s="845"/>
      <c r="F124" s="845"/>
      <c r="G124" s="845">
        <v>1E-3</v>
      </c>
      <c r="H124" s="841">
        <f t="shared" si="14"/>
        <v>0</v>
      </c>
      <c r="I124" s="841">
        <f t="shared" si="15"/>
        <v>0</v>
      </c>
      <c r="J124" s="841">
        <f t="shared" si="16"/>
        <v>1250</v>
      </c>
      <c r="K124" s="867"/>
    </row>
    <row r="125" spans="1:12">
      <c r="A125" s="1351">
        <v>7</v>
      </c>
      <c r="B125" s="1352" t="s">
        <v>956</v>
      </c>
      <c r="C125" s="1351" t="s">
        <v>147</v>
      </c>
      <c r="D125" s="1353">
        <f>'Gia_Dcu-Tbi-Vlieu'!$D$63:$F$63</f>
        <v>1000</v>
      </c>
      <c r="E125" s="1354"/>
      <c r="F125" s="1354"/>
      <c r="G125" s="1354">
        <v>1</v>
      </c>
      <c r="H125" s="1355"/>
      <c r="I125" s="1355"/>
      <c r="J125" s="1355">
        <f t="shared" si="16"/>
        <v>1000</v>
      </c>
      <c r="K125" s="867"/>
    </row>
    <row r="126" spans="1:12">
      <c r="A126" s="1351">
        <v>8</v>
      </c>
      <c r="B126" s="839" t="s">
        <v>145</v>
      </c>
      <c r="C126" s="838" t="s">
        <v>147</v>
      </c>
      <c r="D126" s="498">
        <f>'Gia_Dcu-Tbi-Vlieu'!$D$47</f>
        <v>8672</v>
      </c>
      <c r="E126" s="845"/>
      <c r="F126" s="845"/>
      <c r="G126" s="845">
        <v>1</v>
      </c>
      <c r="H126" s="841">
        <f t="shared" si="14"/>
        <v>0</v>
      </c>
      <c r="I126" s="841">
        <f t="shared" si="15"/>
        <v>0</v>
      </c>
      <c r="J126" s="841">
        <f t="shared" si="16"/>
        <v>8672</v>
      </c>
      <c r="K126" s="867"/>
    </row>
    <row r="127" spans="1:12">
      <c r="A127" s="838">
        <v>10</v>
      </c>
      <c r="B127" s="839" t="s">
        <v>395</v>
      </c>
      <c r="C127" s="838" t="s">
        <v>396</v>
      </c>
      <c r="D127" s="498">
        <f>'Gia_Dcu-Tbi-Vlieu'!$D$48</f>
        <v>64000</v>
      </c>
      <c r="E127" s="845">
        <v>1.2E-2</v>
      </c>
      <c r="F127" s="845"/>
      <c r="G127" s="845">
        <v>8.2000000000000003E-2</v>
      </c>
      <c r="H127" s="841">
        <f t="shared" si="14"/>
        <v>768</v>
      </c>
      <c r="I127" s="841">
        <f t="shared" si="15"/>
        <v>0</v>
      </c>
      <c r="J127" s="841">
        <f t="shared" si="16"/>
        <v>5248</v>
      </c>
      <c r="K127" s="867"/>
    </row>
    <row r="128" spans="1:12">
      <c r="A128" s="838">
        <v>11</v>
      </c>
      <c r="B128" s="839" t="s">
        <v>397</v>
      </c>
      <c r="C128" s="838" t="s">
        <v>396</v>
      </c>
      <c r="D128" s="498">
        <f>'Gia_Dcu-Tbi-Vlieu'!$D$49</f>
        <v>132000</v>
      </c>
      <c r="E128" s="845"/>
      <c r="F128" s="845"/>
      <c r="G128" s="845">
        <v>5.0000000000000001E-3</v>
      </c>
      <c r="H128" s="841">
        <f t="shared" si="14"/>
        <v>0</v>
      </c>
      <c r="I128" s="841">
        <f t="shared" si="15"/>
        <v>0</v>
      </c>
      <c r="J128" s="841">
        <f t="shared" si="16"/>
        <v>660</v>
      </c>
      <c r="K128" s="867"/>
    </row>
    <row r="129" spans="1:14" s="43" customFormat="1">
      <c r="A129" s="838">
        <v>13</v>
      </c>
      <c r="B129" s="839" t="s">
        <v>43</v>
      </c>
      <c r="C129" s="838" t="s">
        <v>398</v>
      </c>
      <c r="D129" s="498">
        <f>'Gia_Dcu-Tbi-Vlieu'!$D$50</f>
        <v>10400</v>
      </c>
      <c r="E129" s="845">
        <v>0.02</v>
      </c>
      <c r="F129" s="845"/>
      <c r="G129" s="845">
        <v>0.08</v>
      </c>
      <c r="H129" s="841">
        <f t="shared" si="14"/>
        <v>208</v>
      </c>
      <c r="I129" s="841">
        <f t="shared" si="15"/>
        <v>0</v>
      </c>
      <c r="J129" s="841">
        <f t="shared" si="16"/>
        <v>832</v>
      </c>
      <c r="K129" s="866"/>
      <c r="L129" s="5"/>
    </row>
    <row r="130" spans="1:14">
      <c r="A130" s="838">
        <v>14</v>
      </c>
      <c r="B130" s="839" t="s">
        <v>399</v>
      </c>
      <c r="C130" s="838" t="s">
        <v>366</v>
      </c>
      <c r="D130" s="498">
        <f>'Gia_Dcu-Tbi-Vlieu'!$D$51</f>
        <v>20000</v>
      </c>
      <c r="E130" s="845">
        <v>0.01</v>
      </c>
      <c r="F130" s="845"/>
      <c r="G130" s="845">
        <v>2.5999999999999999E-2</v>
      </c>
      <c r="H130" s="841">
        <f t="shared" si="14"/>
        <v>200</v>
      </c>
      <c r="I130" s="841">
        <f t="shared" si="15"/>
        <v>0</v>
      </c>
      <c r="J130" s="841">
        <f t="shared" si="16"/>
        <v>520</v>
      </c>
      <c r="K130" s="867"/>
    </row>
    <row r="131" spans="1:14">
      <c r="A131" s="838">
        <v>15</v>
      </c>
      <c r="B131" s="839" t="s">
        <v>400</v>
      </c>
      <c r="C131" s="838" t="s">
        <v>366</v>
      </c>
      <c r="D131" s="498">
        <f>'Gia_Dcu-Tbi-Vlieu'!$D$52</f>
        <v>40000</v>
      </c>
      <c r="E131" s="845"/>
      <c r="F131" s="845"/>
      <c r="G131" s="845">
        <v>6.0000000000000001E-3</v>
      </c>
      <c r="H131" s="841">
        <f t="shared" si="14"/>
        <v>0</v>
      </c>
      <c r="I131" s="841">
        <f t="shared" si="15"/>
        <v>0</v>
      </c>
      <c r="J131" s="841">
        <f t="shared" si="16"/>
        <v>240</v>
      </c>
      <c r="K131" s="867"/>
    </row>
    <row r="132" spans="1:14" hidden="1">
      <c r="A132" s="838"/>
      <c r="B132" s="839"/>
      <c r="C132" s="838"/>
      <c r="D132" s="498"/>
      <c r="E132" s="845"/>
      <c r="F132" s="845"/>
      <c r="G132" s="845"/>
      <c r="H132" s="841"/>
      <c r="I132" s="841"/>
      <c r="J132" s="841"/>
      <c r="K132" s="867"/>
    </row>
    <row r="133" spans="1:14">
      <c r="A133" s="838">
        <v>17</v>
      </c>
      <c r="B133" s="839" t="s">
        <v>434</v>
      </c>
      <c r="C133" s="1351" t="s">
        <v>147</v>
      </c>
      <c r="D133" s="498">
        <f>'Gia_Dcu-Tbi-Vlieu'!$D$54</f>
        <v>380</v>
      </c>
      <c r="E133" s="845"/>
      <c r="F133" s="845"/>
      <c r="G133" s="845">
        <v>1</v>
      </c>
      <c r="H133" s="841">
        <f>$D133*E133</f>
        <v>0</v>
      </c>
      <c r="I133" s="841">
        <f>$D133*F133</f>
        <v>0</v>
      </c>
      <c r="J133" s="841">
        <f>$D133*G133</f>
        <v>380</v>
      </c>
      <c r="K133" s="867"/>
    </row>
    <row r="134" spans="1:14" s="15" customFormat="1">
      <c r="A134" s="438"/>
      <c r="B134" s="448" t="s">
        <v>580</v>
      </c>
      <c r="C134" s="438"/>
      <c r="D134" s="449"/>
      <c r="E134" s="508"/>
      <c r="F134" s="508"/>
      <c r="G134" s="509">
        <v>1</v>
      </c>
      <c r="H134" s="450">
        <f>SUM(H119:H133)*$G134</f>
        <v>1526</v>
      </c>
      <c r="I134" s="450"/>
      <c r="J134" s="450">
        <f>SUM(J119:J133)*$G134</f>
        <v>22493</v>
      </c>
      <c r="K134" s="868"/>
    </row>
    <row r="135" spans="1:14" ht="47.25" customHeight="1">
      <c r="A135" s="838"/>
      <c r="B135" s="1588" t="s">
        <v>466</v>
      </c>
      <c r="C135" s="1516"/>
      <c r="D135" s="1516"/>
      <c r="E135" s="1516"/>
      <c r="F135" s="1516"/>
      <c r="G135" s="1516"/>
      <c r="H135" s="841"/>
      <c r="I135" s="841"/>
      <c r="J135" s="841"/>
      <c r="K135" s="867"/>
    </row>
    <row r="136" spans="1:14" s="43" customFormat="1" ht="21.75" customHeight="1">
      <c r="A136" s="856"/>
      <c r="B136" s="857"/>
      <c r="C136" s="856"/>
      <c r="D136" s="858"/>
      <c r="E136" s="859"/>
      <c r="F136" s="859"/>
      <c r="G136" s="859"/>
      <c r="H136" s="860"/>
      <c r="I136" s="860"/>
      <c r="J136" s="860"/>
      <c r="K136" s="866"/>
      <c r="L136" s="5"/>
    </row>
    <row r="137" spans="1:14" s="6" customFormat="1" ht="15.6" customHeight="1">
      <c r="A137" s="1507" t="s">
        <v>24</v>
      </c>
      <c r="B137" s="1507" t="s">
        <v>3</v>
      </c>
      <c r="C137" s="1507" t="s">
        <v>39</v>
      </c>
      <c r="D137" s="1508" t="s">
        <v>415</v>
      </c>
      <c r="E137" s="1585" t="s">
        <v>414</v>
      </c>
      <c r="F137" s="1585"/>
      <c r="G137" s="1585"/>
      <c r="H137" s="1585"/>
      <c r="I137" s="1382" t="s">
        <v>36</v>
      </c>
      <c r="J137" s="1382"/>
      <c r="K137" s="1382"/>
      <c r="L137" s="1382"/>
    </row>
    <row r="138" spans="1:14" s="6" customFormat="1" ht="33.6" customHeight="1">
      <c r="A138" s="1507"/>
      <c r="B138" s="1507"/>
      <c r="C138" s="1507"/>
      <c r="D138" s="1508"/>
      <c r="E138" s="1585" t="s">
        <v>980</v>
      </c>
      <c r="F138" s="1585"/>
      <c r="G138" s="1585"/>
      <c r="H138" s="1585"/>
      <c r="I138" s="1382" t="s">
        <v>980</v>
      </c>
      <c r="J138" s="1382"/>
      <c r="K138" s="1382"/>
      <c r="L138" s="1382"/>
    </row>
    <row r="139" spans="1:14" s="6" customFormat="1" ht="47.25">
      <c r="A139" s="1507"/>
      <c r="B139" s="1507"/>
      <c r="C139" s="1507"/>
      <c r="D139" s="1508"/>
      <c r="E139" s="829" t="s">
        <v>980</v>
      </c>
      <c r="F139" s="829"/>
      <c r="G139" s="829"/>
      <c r="H139" s="829"/>
      <c r="I139" s="828" t="s">
        <v>980</v>
      </c>
      <c r="J139" s="828"/>
      <c r="K139" s="828"/>
      <c r="L139" s="828"/>
    </row>
    <row r="140" spans="1:14" s="12" customFormat="1" ht="41.25" customHeight="1">
      <c r="A140" s="842" t="str">
        <f>L_CViec!A384</f>
        <v>VII</v>
      </c>
      <c r="B140" s="1590" t="str">
        <f>L_CViec!B384</f>
        <v>Đăng ký biến động đất đai đối với hộ gia đình, cá nhân, cộng đồng dân cư, người gốc Việt Nam định cư ở nước ngoài</v>
      </c>
      <c r="C140" s="1590"/>
      <c r="D140" s="1590"/>
      <c r="E140" s="1590"/>
      <c r="F140" s="1590"/>
      <c r="G140" s="1590"/>
      <c r="H140" s="843"/>
      <c r="I140" s="843"/>
      <c r="J140" s="843"/>
      <c r="K140" s="843"/>
      <c r="L140" s="844" t="s">
        <v>472</v>
      </c>
      <c r="N140" s="5"/>
    </row>
    <row r="141" spans="1:14" s="43" customFormat="1" ht="24.75" customHeight="1">
      <c r="A141" s="838">
        <v>1</v>
      </c>
      <c r="B141" s="839" t="s">
        <v>118</v>
      </c>
      <c r="C141" s="838" t="s">
        <v>366</v>
      </c>
      <c r="D141" s="498">
        <f>'Gia_Dcu-Tbi-Vlieu'!$D$40</f>
        <v>35000</v>
      </c>
      <c r="E141" s="1178">
        <v>0.01</v>
      </c>
      <c r="F141" s="845"/>
      <c r="G141" s="845"/>
      <c r="H141" s="845"/>
      <c r="I141" s="841">
        <f t="shared" ref="I141:I154" si="17">$D141*E141</f>
        <v>350</v>
      </c>
      <c r="J141" s="841">
        <f t="shared" ref="J141:J153" si="18">$D141*F141</f>
        <v>0</v>
      </c>
      <c r="K141" s="841">
        <f t="shared" ref="K141:K153" si="19">$D141*G141</f>
        <v>0</v>
      </c>
      <c r="L141" s="841">
        <f>$D141*H141</f>
        <v>0</v>
      </c>
    </row>
    <row r="142" spans="1:14" ht="24.75" customHeight="1">
      <c r="A142" s="838">
        <v>2</v>
      </c>
      <c r="B142" s="839" t="s">
        <v>389</v>
      </c>
      <c r="C142" s="838" t="s">
        <v>390</v>
      </c>
      <c r="D142" s="498">
        <f>'Gia_Dcu-Tbi-Vlieu'!$D$42</f>
        <v>3500</v>
      </c>
      <c r="E142" s="1178">
        <v>3.7999999999999999E-2</v>
      </c>
      <c r="F142" s="845"/>
      <c r="G142" s="845"/>
      <c r="H142" s="845"/>
      <c r="I142" s="841">
        <f t="shared" si="17"/>
        <v>133</v>
      </c>
      <c r="J142" s="841">
        <f t="shared" si="18"/>
        <v>0</v>
      </c>
      <c r="K142" s="841">
        <f t="shared" si="19"/>
        <v>0</v>
      </c>
      <c r="L142" s="841">
        <f t="shared" ref="L142:L153" si="20">$D142*H142</f>
        <v>0</v>
      </c>
    </row>
    <row r="143" spans="1:14" ht="24.75" customHeight="1">
      <c r="A143" s="838">
        <v>3</v>
      </c>
      <c r="B143" s="839" t="s">
        <v>391</v>
      </c>
      <c r="C143" s="838" t="s">
        <v>390</v>
      </c>
      <c r="D143" s="498">
        <f>'Gia_Dcu-Tbi-Vlieu'!$D$43</f>
        <v>3000</v>
      </c>
      <c r="E143" s="1178">
        <v>6.0000000000000001E-3</v>
      </c>
      <c r="F143" s="845"/>
      <c r="G143" s="845"/>
      <c r="H143" s="845"/>
      <c r="I143" s="841">
        <f t="shared" si="17"/>
        <v>18</v>
      </c>
      <c r="J143" s="841">
        <f t="shared" si="18"/>
        <v>0</v>
      </c>
      <c r="K143" s="841">
        <f t="shared" si="19"/>
        <v>0</v>
      </c>
      <c r="L143" s="841">
        <f t="shared" si="20"/>
        <v>0</v>
      </c>
    </row>
    <row r="144" spans="1:14" ht="24.75" customHeight="1">
      <c r="A144" s="838">
        <v>4</v>
      </c>
      <c r="B144" s="839" t="s">
        <v>392</v>
      </c>
      <c r="C144" s="838" t="s">
        <v>390</v>
      </c>
      <c r="D144" s="498">
        <f>'Gia_Dcu-Tbi-Vlieu'!$D$44</f>
        <v>600000</v>
      </c>
      <c r="E144" s="1178">
        <v>2E-3</v>
      </c>
      <c r="F144" s="845"/>
      <c r="G144" s="845"/>
      <c r="H144" s="845"/>
      <c r="I144" s="841">
        <f t="shared" si="17"/>
        <v>1200</v>
      </c>
      <c r="J144" s="841">
        <f t="shared" si="18"/>
        <v>0</v>
      </c>
      <c r="K144" s="841">
        <f t="shared" si="19"/>
        <v>0</v>
      </c>
      <c r="L144" s="841">
        <f t="shared" si="20"/>
        <v>0</v>
      </c>
    </row>
    <row r="145" spans="1:12" ht="24.75" customHeight="1">
      <c r="A145" s="838">
        <v>5</v>
      </c>
      <c r="B145" s="839" t="s">
        <v>117</v>
      </c>
      <c r="C145" s="838" t="s">
        <v>390</v>
      </c>
      <c r="D145" s="498">
        <f>'Gia_Dcu-Tbi-Vlieu'!$D$45</f>
        <v>351000</v>
      </c>
      <c r="E145" s="1178">
        <v>3.0000000000000001E-3</v>
      </c>
      <c r="F145" s="845"/>
      <c r="G145" s="845"/>
      <c r="H145" s="845"/>
      <c r="I145" s="841">
        <f t="shared" si="17"/>
        <v>1053</v>
      </c>
      <c r="J145" s="841">
        <f t="shared" si="18"/>
        <v>0</v>
      </c>
      <c r="K145" s="841">
        <f t="shared" si="19"/>
        <v>0</v>
      </c>
      <c r="L145" s="841">
        <f t="shared" si="20"/>
        <v>0</v>
      </c>
    </row>
    <row r="146" spans="1:12" ht="24.75" customHeight="1">
      <c r="A146" s="838">
        <v>6</v>
      </c>
      <c r="B146" s="839" t="s">
        <v>394</v>
      </c>
      <c r="C146" s="838" t="s">
        <v>390</v>
      </c>
      <c r="D146" s="498">
        <f>'Gia_Dcu-Tbi-Vlieu'!$D$46</f>
        <v>1250000</v>
      </c>
      <c r="E146" s="1178">
        <v>2E-3</v>
      </c>
      <c r="F146" s="845"/>
      <c r="G146" s="845"/>
      <c r="H146" s="845"/>
      <c r="I146" s="841">
        <f t="shared" si="17"/>
        <v>2500</v>
      </c>
      <c r="J146" s="841">
        <f t="shared" si="18"/>
        <v>0</v>
      </c>
      <c r="K146" s="841">
        <f t="shared" si="19"/>
        <v>0</v>
      </c>
      <c r="L146" s="841">
        <f t="shared" si="20"/>
        <v>0</v>
      </c>
    </row>
    <row r="147" spans="1:12" ht="24.75" customHeight="1">
      <c r="A147" s="1351">
        <v>7</v>
      </c>
      <c r="B147" s="1352" t="s">
        <v>956</v>
      </c>
      <c r="C147" s="1351" t="s">
        <v>147</v>
      </c>
      <c r="D147" s="1353">
        <f>'Gia_Dcu-Tbi-Vlieu'!$D$63:$F$63</f>
        <v>1000</v>
      </c>
      <c r="E147" s="1357">
        <v>1</v>
      </c>
      <c r="F147" s="1354"/>
      <c r="G147" s="1354"/>
      <c r="H147" s="1354"/>
      <c r="I147" s="1355">
        <f t="shared" si="17"/>
        <v>1000</v>
      </c>
      <c r="J147" s="841"/>
      <c r="K147" s="841"/>
      <c r="L147" s="841"/>
    </row>
    <row r="148" spans="1:12" ht="24.75" customHeight="1">
      <c r="A148" s="1351">
        <v>8</v>
      </c>
      <c r="B148" s="839" t="s">
        <v>145</v>
      </c>
      <c r="C148" s="838" t="s">
        <v>147</v>
      </c>
      <c r="D148" s="498">
        <f>'Gia_Dcu-Tbi-Vlieu'!$D$47</f>
        <v>8672</v>
      </c>
      <c r="E148" s="1178">
        <v>1</v>
      </c>
      <c r="F148" s="845"/>
      <c r="G148" s="845"/>
      <c r="H148" s="845"/>
      <c r="I148" s="841">
        <f t="shared" si="17"/>
        <v>8672</v>
      </c>
      <c r="J148" s="841">
        <f t="shared" si="18"/>
        <v>0</v>
      </c>
      <c r="K148" s="841">
        <f t="shared" si="19"/>
        <v>0</v>
      </c>
      <c r="L148" s="841">
        <f t="shared" si="20"/>
        <v>0</v>
      </c>
    </row>
    <row r="149" spans="1:12" ht="24.75" customHeight="1">
      <c r="A149" s="838">
        <v>10</v>
      </c>
      <c r="B149" s="839" t="s">
        <v>395</v>
      </c>
      <c r="C149" s="838" t="s">
        <v>396</v>
      </c>
      <c r="D149" s="498">
        <f>'Gia_Dcu-Tbi-Vlieu'!$D$48</f>
        <v>64000</v>
      </c>
      <c r="E149" s="1178">
        <v>9.1999999999999998E-2</v>
      </c>
      <c r="F149" s="845"/>
      <c r="G149" s="845"/>
      <c r="H149" s="845"/>
      <c r="I149" s="841">
        <f t="shared" si="17"/>
        <v>5888</v>
      </c>
      <c r="J149" s="841">
        <f t="shared" si="18"/>
        <v>0</v>
      </c>
      <c r="K149" s="841">
        <f t="shared" si="19"/>
        <v>0</v>
      </c>
      <c r="L149" s="841">
        <f t="shared" si="20"/>
        <v>0</v>
      </c>
    </row>
    <row r="150" spans="1:12" ht="24.75" customHeight="1">
      <c r="A150" s="838">
        <v>11</v>
      </c>
      <c r="B150" s="839" t="s">
        <v>397</v>
      </c>
      <c r="C150" s="838" t="s">
        <v>396</v>
      </c>
      <c r="D150" s="498">
        <f>'Gia_Dcu-Tbi-Vlieu'!$D$49</f>
        <v>132000</v>
      </c>
      <c r="E150" s="1178">
        <v>7.0000000000000001E-3</v>
      </c>
      <c r="F150" s="845"/>
      <c r="G150" s="845"/>
      <c r="H150" s="845"/>
      <c r="I150" s="841">
        <f t="shared" si="17"/>
        <v>924</v>
      </c>
      <c r="J150" s="841">
        <f t="shared" si="18"/>
        <v>0</v>
      </c>
      <c r="K150" s="841">
        <f t="shared" si="19"/>
        <v>0</v>
      </c>
      <c r="L150" s="841">
        <f t="shared" si="20"/>
        <v>0</v>
      </c>
    </row>
    <row r="151" spans="1:12" s="43" customFormat="1" ht="24.75" customHeight="1">
      <c r="A151" s="838">
        <v>13</v>
      </c>
      <c r="B151" s="839" t="s">
        <v>43</v>
      </c>
      <c r="C151" s="838" t="s">
        <v>398</v>
      </c>
      <c r="D151" s="498">
        <f>'Gia_Dcu-Tbi-Vlieu'!$D$50</f>
        <v>10400</v>
      </c>
      <c r="E151" s="1178">
        <v>2.9000000000000001E-2</v>
      </c>
      <c r="F151" s="845"/>
      <c r="G151" s="845"/>
      <c r="H151" s="845"/>
      <c r="I151" s="841">
        <f t="shared" si="17"/>
        <v>301.60000000000002</v>
      </c>
      <c r="J151" s="841">
        <f t="shared" si="18"/>
        <v>0</v>
      </c>
      <c r="K151" s="841">
        <f t="shared" si="19"/>
        <v>0</v>
      </c>
      <c r="L151" s="841">
        <f t="shared" si="20"/>
        <v>0</v>
      </c>
    </row>
    <row r="152" spans="1:12" ht="24.75" customHeight="1">
      <c r="A152" s="838">
        <v>14</v>
      </c>
      <c r="B152" s="839" t="s">
        <v>399</v>
      </c>
      <c r="C152" s="838" t="s">
        <v>366</v>
      </c>
      <c r="D152" s="498">
        <f>'Gia_Dcu-Tbi-Vlieu'!$D$51</f>
        <v>20000</v>
      </c>
      <c r="E152" s="1178">
        <v>0.01</v>
      </c>
      <c r="F152" s="845"/>
      <c r="G152" s="845"/>
      <c r="H152" s="845"/>
      <c r="I152" s="841">
        <f t="shared" si="17"/>
        <v>200</v>
      </c>
      <c r="J152" s="841">
        <f t="shared" si="18"/>
        <v>0</v>
      </c>
      <c r="K152" s="841">
        <f t="shared" si="19"/>
        <v>0</v>
      </c>
      <c r="L152" s="841">
        <f t="shared" si="20"/>
        <v>0</v>
      </c>
    </row>
    <row r="153" spans="1:12" ht="24.75" customHeight="1">
      <c r="A153" s="838">
        <v>15</v>
      </c>
      <c r="B153" s="839" t="s">
        <v>400</v>
      </c>
      <c r="C153" s="838" t="s">
        <v>366</v>
      </c>
      <c r="D153" s="498">
        <f>'Gia_Dcu-Tbi-Vlieu'!$D$52</f>
        <v>40000</v>
      </c>
      <c r="E153" s="1178">
        <v>7.0000000000000001E-3</v>
      </c>
      <c r="F153" s="845"/>
      <c r="G153" s="845"/>
      <c r="H153" s="845"/>
      <c r="I153" s="841">
        <f t="shared" si="17"/>
        <v>280</v>
      </c>
      <c r="J153" s="841">
        <f t="shared" si="18"/>
        <v>0</v>
      </c>
      <c r="K153" s="841">
        <f t="shared" si="19"/>
        <v>0</v>
      </c>
      <c r="L153" s="841">
        <f t="shared" si="20"/>
        <v>0</v>
      </c>
    </row>
    <row r="154" spans="1:12" ht="24.75" customHeight="1">
      <c r="A154" s="838">
        <v>16</v>
      </c>
      <c r="B154" s="445" t="s">
        <v>434</v>
      </c>
      <c r="C154" s="838" t="s">
        <v>402</v>
      </c>
      <c r="D154" s="498">
        <f>'Gia_Dcu-Tbi-Vlieu'!$D$54</f>
        <v>380</v>
      </c>
      <c r="E154" s="1178">
        <v>1</v>
      </c>
      <c r="F154" s="845"/>
      <c r="G154" s="845"/>
      <c r="H154" s="845"/>
      <c r="I154" s="841">
        <f t="shared" si="17"/>
        <v>380</v>
      </c>
      <c r="J154" s="841">
        <f>$D154*F154</f>
        <v>0</v>
      </c>
      <c r="K154" s="841">
        <f>$D154*G154</f>
        <v>0</v>
      </c>
      <c r="L154" s="841">
        <f>$D154*H154</f>
        <v>0</v>
      </c>
    </row>
    <row r="155" spans="1:12" s="15" customFormat="1" ht="24.75" customHeight="1">
      <c r="A155" s="438"/>
      <c r="B155" s="448" t="s">
        <v>580</v>
      </c>
      <c r="C155" s="438"/>
      <c r="D155" s="449"/>
      <c r="E155" s="508"/>
      <c r="F155" s="508"/>
      <c r="G155" s="508"/>
      <c r="H155" s="509">
        <v>1</v>
      </c>
      <c r="I155" s="450">
        <f>SUM(I141:I154)*$H155</f>
        <v>22899.599999999999</v>
      </c>
      <c r="J155" s="450">
        <f>SUM(J141:J154)*$H155</f>
        <v>0</v>
      </c>
      <c r="K155" s="450">
        <f>SUM(K141:K154)*$H155</f>
        <v>0</v>
      </c>
      <c r="L155" s="450">
        <f>SUM(L141:L154)*$H155</f>
        <v>0</v>
      </c>
    </row>
    <row r="156" spans="1:12" ht="24.75" customHeight="1">
      <c r="A156" s="838"/>
      <c r="B156" s="852" t="s">
        <v>435</v>
      </c>
      <c r="C156" s="838"/>
      <c r="D156" s="840"/>
      <c r="E156" s="853"/>
      <c r="F156" s="853"/>
      <c r="G156" s="853"/>
      <c r="H156" s="853"/>
      <c r="I156" s="841"/>
      <c r="J156" s="841"/>
      <c r="K156" s="841"/>
      <c r="L156" s="841"/>
    </row>
    <row r="157" spans="1:12" ht="41.25" customHeight="1">
      <c r="A157" s="444"/>
      <c r="B157" s="1591" t="s">
        <v>474</v>
      </c>
      <c r="C157" s="1591"/>
      <c r="D157" s="1591"/>
      <c r="E157" s="855"/>
      <c r="F157" s="855"/>
      <c r="G157" s="855"/>
      <c r="H157" s="855"/>
      <c r="I157" s="841"/>
      <c r="J157" s="841"/>
      <c r="K157" s="841"/>
      <c r="L157" s="841"/>
    </row>
    <row r="158" spans="1:12" ht="81" customHeight="1">
      <c r="A158" s="444"/>
      <c r="B158" s="1591" t="s">
        <v>473</v>
      </c>
      <c r="C158" s="1591"/>
      <c r="D158" s="1591"/>
      <c r="E158" s="855">
        <v>0.6</v>
      </c>
      <c r="F158" s="855">
        <v>0.6</v>
      </c>
      <c r="G158" s="855">
        <v>0.6</v>
      </c>
      <c r="H158" s="855">
        <v>0.6</v>
      </c>
      <c r="I158" s="841" t="e">
        <f>E158*I155-#REF!</f>
        <v>#REF!</v>
      </c>
      <c r="J158" s="841" t="e">
        <f>F158*J155-#REF!</f>
        <v>#REF!</v>
      </c>
      <c r="K158" s="841" t="e">
        <f>G158*K155-#REF!</f>
        <v>#REF!</v>
      </c>
      <c r="L158" s="841" t="e">
        <f>H158*L155-#REF!</f>
        <v>#REF!</v>
      </c>
    </row>
    <row r="159" spans="1:12" s="43" customFormat="1">
      <c r="A159" s="838"/>
      <c r="B159" s="839"/>
      <c r="C159" s="838"/>
      <c r="D159" s="840"/>
      <c r="E159" s="853"/>
      <c r="F159" s="853"/>
      <c r="G159" s="853"/>
      <c r="H159" s="853"/>
      <c r="I159" s="841"/>
      <c r="J159" s="841"/>
      <c r="K159" s="841"/>
      <c r="L159" s="841"/>
    </row>
    <row r="160" spans="1:12" s="12" customFormat="1" ht="36.75" customHeight="1">
      <c r="A160" s="830" t="str">
        <f>L_CViec!A438</f>
        <v>VIII</v>
      </c>
      <c r="B160" s="1552" t="str">
        <f>L_CViec!B438</f>
        <v xml:space="preserve">Đăng ký biến động đất đai đối với tổ chức, tổ chức tôn giáo, tổ chức tôn giáo trực thuộc, tổ chức nước ngoài có chức năng ngoại giao, tổ chức kinh tế có vốn đầu tư nước ngoài, tổ chức nước ngoài, cá nhân nước ngoài </v>
      </c>
      <c r="C160" s="1552"/>
      <c r="D160" s="1552"/>
      <c r="E160" s="1552" t="s">
        <v>465</v>
      </c>
      <c r="F160" s="1552"/>
      <c r="G160" s="1552"/>
      <c r="H160" s="831"/>
      <c r="I160" s="831"/>
      <c r="J160" s="832" t="s">
        <v>465</v>
      </c>
      <c r="L160" s="5"/>
    </row>
    <row r="161" spans="1:12" s="12" customFormat="1" ht="36.75" customHeight="1">
      <c r="A161" s="830"/>
      <c r="B161" s="1171"/>
      <c r="C161" s="1171"/>
      <c r="D161" s="1171"/>
      <c r="E161" s="1171"/>
      <c r="F161" s="1171"/>
      <c r="G161" s="830" t="s">
        <v>364</v>
      </c>
      <c r="H161" s="831"/>
      <c r="I161" s="831"/>
      <c r="J161" s="830" t="s">
        <v>364</v>
      </c>
      <c r="L161" s="5"/>
    </row>
    <row r="162" spans="1:12" s="43" customFormat="1" ht="20.25" customHeight="1">
      <c r="A162" s="838">
        <v>1</v>
      </c>
      <c r="B162" s="839" t="s">
        <v>118</v>
      </c>
      <c r="C162" s="838" t="s">
        <v>366</v>
      </c>
      <c r="D162" s="498">
        <f>'Gia_Dcu-Tbi-Vlieu'!$D$40</f>
        <v>35000</v>
      </c>
      <c r="E162" s="845"/>
      <c r="F162" s="845"/>
      <c r="G162" s="845">
        <v>8.0000000000000002E-3</v>
      </c>
      <c r="H162" s="841">
        <f t="shared" ref="H162:H174" si="21">$D162*E162</f>
        <v>0</v>
      </c>
      <c r="I162" s="841">
        <f t="shared" ref="I162:I174" si="22">$D162*F162</f>
        <v>0</v>
      </c>
      <c r="J162" s="841">
        <f t="shared" ref="J162:J174" si="23">$D162*G162</f>
        <v>280</v>
      </c>
      <c r="L162" s="5"/>
    </row>
    <row r="163" spans="1:12" ht="20.25" customHeight="1">
      <c r="A163" s="838">
        <v>2</v>
      </c>
      <c r="B163" s="839" t="s">
        <v>389</v>
      </c>
      <c r="C163" s="838" t="s">
        <v>390</v>
      </c>
      <c r="D163" s="498">
        <f>'Gia_Dcu-Tbi-Vlieu'!$D$42</f>
        <v>3500</v>
      </c>
      <c r="E163" s="845"/>
      <c r="F163" s="845"/>
      <c r="G163" s="845">
        <v>4.0000000000000001E-3</v>
      </c>
      <c r="H163" s="841">
        <f t="shared" si="21"/>
        <v>0</v>
      </c>
      <c r="I163" s="841">
        <f t="shared" si="22"/>
        <v>0</v>
      </c>
      <c r="J163" s="841">
        <f t="shared" si="23"/>
        <v>14</v>
      </c>
    </row>
    <row r="164" spans="1:12" ht="20.25" customHeight="1">
      <c r="A164" s="838">
        <v>3</v>
      </c>
      <c r="B164" s="839" t="s">
        <v>391</v>
      </c>
      <c r="C164" s="838" t="s">
        <v>390</v>
      </c>
      <c r="D164" s="498">
        <f>'Gia_Dcu-Tbi-Vlieu'!$D$43</f>
        <v>3000</v>
      </c>
      <c r="E164" s="845"/>
      <c r="F164" s="845"/>
      <c r="G164" s="845">
        <v>6.0000000000000001E-3</v>
      </c>
      <c r="H164" s="841">
        <f t="shared" si="21"/>
        <v>0</v>
      </c>
      <c r="I164" s="841">
        <f t="shared" si="22"/>
        <v>0</v>
      </c>
      <c r="J164" s="841">
        <f t="shared" si="23"/>
        <v>18</v>
      </c>
    </row>
    <row r="165" spans="1:12" ht="20.25" customHeight="1">
      <c r="A165" s="838">
        <v>4</v>
      </c>
      <c r="B165" s="839" t="s">
        <v>392</v>
      </c>
      <c r="C165" s="838" t="s">
        <v>390</v>
      </c>
      <c r="D165" s="498">
        <f>'Gia_Dcu-Tbi-Vlieu'!$D$44</f>
        <v>600000</v>
      </c>
      <c r="E165" s="845"/>
      <c r="F165" s="845"/>
      <c r="G165" s="845">
        <v>2E-3</v>
      </c>
      <c r="H165" s="841">
        <f t="shared" si="21"/>
        <v>0</v>
      </c>
      <c r="I165" s="841">
        <f t="shared" si="22"/>
        <v>0</v>
      </c>
      <c r="J165" s="841">
        <f t="shared" si="23"/>
        <v>1200</v>
      </c>
    </row>
    <row r="166" spans="1:12" ht="20.25" customHeight="1">
      <c r="A166" s="838">
        <v>5</v>
      </c>
      <c r="B166" s="839" t="s">
        <v>393</v>
      </c>
      <c r="C166" s="838" t="s">
        <v>390</v>
      </c>
      <c r="D166" s="498">
        <f>'Gia_Dcu-Tbi-Vlieu'!$D$45</f>
        <v>351000</v>
      </c>
      <c r="E166" s="845"/>
      <c r="F166" s="845"/>
      <c r="G166" s="845">
        <v>3.0000000000000001E-3</v>
      </c>
      <c r="H166" s="841">
        <f t="shared" si="21"/>
        <v>0</v>
      </c>
      <c r="I166" s="841">
        <f t="shared" si="22"/>
        <v>0</v>
      </c>
      <c r="J166" s="841">
        <f t="shared" si="23"/>
        <v>1053</v>
      </c>
    </row>
    <row r="167" spans="1:12" ht="20.25" customHeight="1">
      <c r="A167" s="838">
        <v>6</v>
      </c>
      <c r="B167" s="839" t="s">
        <v>394</v>
      </c>
      <c r="C167" s="838" t="s">
        <v>390</v>
      </c>
      <c r="D167" s="498">
        <f>'Gia_Dcu-Tbi-Vlieu'!$D$46</f>
        <v>1250000</v>
      </c>
      <c r="E167" s="845"/>
      <c r="F167" s="845"/>
      <c r="G167" s="845">
        <v>2E-3</v>
      </c>
      <c r="H167" s="841">
        <f t="shared" si="21"/>
        <v>0</v>
      </c>
      <c r="I167" s="841">
        <f t="shared" si="22"/>
        <v>0</v>
      </c>
      <c r="J167" s="841">
        <f t="shared" si="23"/>
        <v>2500</v>
      </c>
    </row>
    <row r="168" spans="1:12" ht="20.25" customHeight="1">
      <c r="A168" s="1351">
        <v>7</v>
      </c>
      <c r="B168" s="1352" t="s">
        <v>956</v>
      </c>
      <c r="C168" s="1351" t="s">
        <v>147</v>
      </c>
      <c r="D168" s="1353">
        <f>'Gia_Dcu-Tbi-Vlieu'!$D$63:$F$63</f>
        <v>1000</v>
      </c>
      <c r="E168" s="1354"/>
      <c r="F168" s="1354"/>
      <c r="G168" s="1354">
        <v>1</v>
      </c>
      <c r="H168" s="1355"/>
      <c r="I168" s="1355"/>
      <c r="J168" s="1355">
        <f t="shared" si="23"/>
        <v>1000</v>
      </c>
    </row>
    <row r="169" spans="1:12" ht="20.25" customHeight="1">
      <c r="A169" s="838">
        <v>8</v>
      </c>
      <c r="B169" s="839" t="s">
        <v>145</v>
      </c>
      <c r="C169" s="838" t="s">
        <v>147</v>
      </c>
      <c r="D169" s="498">
        <f>'Gia_Dcu-Tbi-Vlieu'!$D$47</f>
        <v>8672</v>
      </c>
      <c r="E169" s="845"/>
      <c r="F169" s="845"/>
      <c r="G169" s="845">
        <v>1</v>
      </c>
      <c r="H169" s="841">
        <f t="shared" si="21"/>
        <v>0</v>
      </c>
      <c r="I169" s="841">
        <f t="shared" si="22"/>
        <v>0</v>
      </c>
      <c r="J169" s="841">
        <f t="shared" si="23"/>
        <v>8672</v>
      </c>
    </row>
    <row r="170" spans="1:12" ht="20.25" customHeight="1">
      <c r="A170" s="838">
        <v>10</v>
      </c>
      <c r="B170" s="839" t="s">
        <v>395</v>
      </c>
      <c r="C170" s="838" t="s">
        <v>396</v>
      </c>
      <c r="D170" s="498">
        <f>'Gia_Dcu-Tbi-Vlieu'!$D$48</f>
        <v>64000</v>
      </c>
      <c r="E170" s="845"/>
      <c r="F170" s="845"/>
      <c r="G170" s="845">
        <v>2.9000000000000001E-2</v>
      </c>
      <c r="H170" s="841">
        <f t="shared" si="21"/>
        <v>0</v>
      </c>
      <c r="I170" s="841">
        <f t="shared" si="22"/>
        <v>0</v>
      </c>
      <c r="J170" s="841">
        <f t="shared" si="23"/>
        <v>1856</v>
      </c>
    </row>
    <row r="171" spans="1:12" ht="20.25" customHeight="1">
      <c r="A171" s="838">
        <v>11</v>
      </c>
      <c r="B171" s="839" t="s">
        <v>397</v>
      </c>
      <c r="C171" s="838" t="s">
        <v>396</v>
      </c>
      <c r="D171" s="498">
        <f>'Gia_Dcu-Tbi-Vlieu'!$D$49</f>
        <v>132000</v>
      </c>
      <c r="E171" s="845"/>
      <c r="F171" s="845"/>
      <c r="G171" s="845">
        <v>6.0000000000000001E-3</v>
      </c>
      <c r="H171" s="841">
        <f t="shared" si="21"/>
        <v>0</v>
      </c>
      <c r="I171" s="841">
        <f t="shared" si="22"/>
        <v>0</v>
      </c>
      <c r="J171" s="841">
        <f t="shared" si="23"/>
        <v>792</v>
      </c>
    </row>
    <row r="172" spans="1:12" s="43" customFormat="1" ht="20.25" customHeight="1">
      <c r="A172" s="838">
        <v>13</v>
      </c>
      <c r="B172" s="839" t="s">
        <v>43</v>
      </c>
      <c r="C172" s="838" t="s">
        <v>398</v>
      </c>
      <c r="D172" s="498">
        <f>'Gia_Dcu-Tbi-Vlieu'!$D$50</f>
        <v>10400</v>
      </c>
      <c r="E172" s="845"/>
      <c r="F172" s="845"/>
      <c r="G172" s="845">
        <v>0.03</v>
      </c>
      <c r="H172" s="841">
        <f t="shared" si="21"/>
        <v>0</v>
      </c>
      <c r="I172" s="841">
        <f t="shared" si="22"/>
        <v>0</v>
      </c>
      <c r="J172" s="841">
        <f t="shared" si="23"/>
        <v>312</v>
      </c>
      <c r="L172" s="5"/>
    </row>
    <row r="173" spans="1:12" ht="20.25" customHeight="1">
      <c r="A173" s="838">
        <v>14</v>
      </c>
      <c r="B173" s="839" t="s">
        <v>399</v>
      </c>
      <c r="C173" s="838" t="s">
        <v>366</v>
      </c>
      <c r="D173" s="498">
        <f>'Gia_Dcu-Tbi-Vlieu'!$D$51</f>
        <v>20000</v>
      </c>
      <c r="E173" s="845"/>
      <c r="F173" s="845"/>
      <c r="G173" s="845">
        <v>5.0000000000000001E-3</v>
      </c>
      <c r="H173" s="841">
        <f t="shared" si="21"/>
        <v>0</v>
      </c>
      <c r="I173" s="841">
        <f t="shared" si="22"/>
        <v>0</v>
      </c>
      <c r="J173" s="841">
        <f t="shared" si="23"/>
        <v>100</v>
      </c>
    </row>
    <row r="174" spans="1:12" ht="20.25" customHeight="1">
      <c r="A174" s="838">
        <v>15</v>
      </c>
      <c r="B174" s="839" t="s">
        <v>400</v>
      </c>
      <c r="C174" s="838" t="s">
        <v>366</v>
      </c>
      <c r="D174" s="498">
        <f>'Gia_Dcu-Tbi-Vlieu'!$D$52</f>
        <v>40000</v>
      </c>
      <c r="E174" s="845"/>
      <c r="F174" s="845"/>
      <c r="G174" s="845">
        <v>4.0000000000000001E-3</v>
      </c>
      <c r="H174" s="841">
        <f t="shared" si="21"/>
        <v>0</v>
      </c>
      <c r="I174" s="841">
        <f t="shared" si="22"/>
        <v>0</v>
      </c>
      <c r="J174" s="841">
        <f t="shared" si="23"/>
        <v>160</v>
      </c>
    </row>
    <row r="175" spans="1:12" ht="20.25" customHeight="1">
      <c r="A175" s="838">
        <v>16</v>
      </c>
      <c r="B175" s="839" t="s">
        <v>434</v>
      </c>
      <c r="C175" s="838" t="s">
        <v>402</v>
      </c>
      <c r="D175" s="498">
        <f>'Gia_Dcu-Tbi-Vlieu'!$D$54</f>
        <v>380</v>
      </c>
      <c r="E175" s="845"/>
      <c r="F175" s="845"/>
      <c r="G175" s="845">
        <v>1</v>
      </c>
      <c r="H175" s="841">
        <f>$D175*E175</f>
        <v>0</v>
      </c>
      <c r="I175" s="841">
        <f>$D175*F175</f>
        <v>0</v>
      </c>
      <c r="J175" s="841">
        <f>$D175*G175</f>
        <v>380</v>
      </c>
    </row>
    <row r="176" spans="1:12" s="15" customFormat="1" ht="20.25" customHeight="1">
      <c r="A176" s="438"/>
      <c r="B176" s="448" t="s">
        <v>580</v>
      </c>
      <c r="C176" s="438"/>
      <c r="D176" s="449"/>
      <c r="E176" s="508"/>
      <c r="F176" s="508"/>
      <c r="G176" s="509">
        <v>1</v>
      </c>
      <c r="H176" s="450">
        <f>SUM(H162:H175)*$G176</f>
        <v>0</v>
      </c>
      <c r="I176" s="450">
        <f>SUM(I162:I175)*$G176</f>
        <v>0</v>
      </c>
      <c r="J176" s="450">
        <f>SUM(J162:J175)*$G176</f>
        <v>18337</v>
      </c>
    </row>
    <row r="177" spans="1:12" ht="20.25" customHeight="1">
      <c r="A177" s="838"/>
      <c r="B177" s="1408" t="s">
        <v>435</v>
      </c>
      <c r="C177" s="1516"/>
      <c r="D177" s="1516"/>
      <c r="E177" s="1516"/>
      <c r="F177" s="1516"/>
      <c r="G177" s="1516"/>
      <c r="H177" s="841"/>
      <c r="I177" s="841"/>
      <c r="J177" s="841"/>
    </row>
    <row r="178" spans="1:12" ht="35.25" customHeight="1">
      <c r="A178" s="838"/>
      <c r="B178" s="1589" t="s">
        <v>474</v>
      </c>
      <c r="C178" s="1589"/>
      <c r="D178" s="1589"/>
      <c r="E178" s="853"/>
      <c r="F178" s="853"/>
      <c r="G178" s="853"/>
      <c r="H178" s="841"/>
      <c r="I178" s="841"/>
      <c r="J178" s="841"/>
    </row>
    <row r="179" spans="1:12" s="43" customFormat="1" ht="31.5" customHeight="1">
      <c r="A179" s="838"/>
      <c r="B179" s="1589" t="s">
        <v>478</v>
      </c>
      <c r="C179" s="1589"/>
      <c r="D179" s="1589"/>
      <c r="E179" s="861"/>
      <c r="F179" s="861"/>
      <c r="G179" s="861">
        <v>0.02</v>
      </c>
      <c r="H179" s="841"/>
      <c r="I179" s="841"/>
      <c r="J179" s="841">
        <f>G179*J176</f>
        <v>366.74</v>
      </c>
      <c r="L179" s="5"/>
    </row>
    <row r="180" spans="1:12" ht="85.5" customHeight="1">
      <c r="A180" s="838"/>
      <c r="B180" s="1589" t="s">
        <v>479</v>
      </c>
      <c r="C180" s="1589"/>
      <c r="D180" s="1589"/>
      <c r="E180" s="861"/>
      <c r="F180" s="861"/>
      <c r="G180" s="861">
        <v>0.6</v>
      </c>
      <c r="H180" s="841"/>
      <c r="I180" s="841"/>
      <c r="J180" s="841">
        <f>G180*J176</f>
        <v>11002.199999999999</v>
      </c>
    </row>
    <row r="181" spans="1:12" ht="33" customHeight="1">
      <c r="A181" s="838"/>
      <c r="B181" s="839"/>
      <c r="C181" s="838"/>
      <c r="D181" s="840"/>
      <c r="E181" s="861"/>
      <c r="F181" s="861"/>
      <c r="G181" s="861"/>
      <c r="H181" s="841"/>
      <c r="I181" s="841"/>
      <c r="J181" s="841"/>
    </row>
    <row r="182" spans="1:12" s="12" customFormat="1" ht="33" customHeight="1">
      <c r="A182" s="830" t="str">
        <f>L_CViec!A489</f>
        <v>XI</v>
      </c>
      <c r="B182" s="1552" t="str">
        <f>L_CViec!B489</f>
        <v>TRÍCH LỤC HỒ SƠ ĐỊA CHÍNH</v>
      </c>
      <c r="C182" s="1552"/>
      <c r="D182" s="1552"/>
      <c r="E182" s="1552"/>
      <c r="F182" s="1552"/>
      <c r="G182" s="1552">
        <v>0.04</v>
      </c>
      <c r="H182" s="831"/>
      <c r="I182" s="831"/>
      <c r="J182" s="832" t="s">
        <v>489</v>
      </c>
      <c r="L182" s="5"/>
    </row>
    <row r="183" spans="1:12" s="43" customFormat="1" ht="20.25" customHeight="1">
      <c r="A183" s="838">
        <v>1</v>
      </c>
      <c r="B183" s="839" t="s">
        <v>118</v>
      </c>
      <c r="C183" s="838" t="s">
        <v>366</v>
      </c>
      <c r="D183" s="498">
        <f>'Gia_Dcu-Tbi-Vlieu'!$D$40</f>
        <v>35000</v>
      </c>
      <c r="E183" s="845">
        <v>1.4999999999999999E-2</v>
      </c>
      <c r="F183" s="845"/>
      <c r="G183" s="845"/>
      <c r="H183" s="841">
        <f t="shared" ref="H183:H188" si="24">$D183*E183</f>
        <v>525</v>
      </c>
      <c r="I183" s="841">
        <f t="shared" ref="I183:I188" si="25">$D183*F183</f>
        <v>0</v>
      </c>
      <c r="J183" s="841">
        <f t="shared" ref="J183:J188" si="26">$D183*G183</f>
        <v>0</v>
      </c>
      <c r="L183" s="5"/>
    </row>
    <row r="184" spans="1:12" ht="20.25" customHeight="1">
      <c r="A184" s="838">
        <v>2</v>
      </c>
      <c r="B184" s="839" t="s">
        <v>389</v>
      </c>
      <c r="C184" s="838" t="s">
        <v>390</v>
      </c>
      <c r="D184" s="498">
        <f>'Gia_Dcu-Tbi-Vlieu'!$D$42</f>
        <v>3500</v>
      </c>
      <c r="E184" s="845">
        <v>0.3</v>
      </c>
      <c r="F184" s="845"/>
      <c r="G184" s="845"/>
      <c r="H184" s="841">
        <f t="shared" si="24"/>
        <v>1050</v>
      </c>
      <c r="I184" s="841">
        <f t="shared" si="25"/>
        <v>0</v>
      </c>
      <c r="J184" s="841">
        <f t="shared" si="26"/>
        <v>0</v>
      </c>
    </row>
    <row r="185" spans="1:12" ht="20.25" customHeight="1">
      <c r="A185" s="838">
        <v>3</v>
      </c>
      <c r="B185" s="839" t="s">
        <v>391</v>
      </c>
      <c r="C185" s="838" t="s">
        <v>390</v>
      </c>
      <c r="D185" s="498">
        <f>'Gia_Dcu-Tbi-Vlieu'!$D$43</f>
        <v>3000</v>
      </c>
      <c r="E185" s="845">
        <v>0.15</v>
      </c>
      <c r="F185" s="845"/>
      <c r="G185" s="845"/>
      <c r="H185" s="841">
        <f t="shared" si="24"/>
        <v>450</v>
      </c>
      <c r="I185" s="841">
        <f t="shared" si="25"/>
        <v>0</v>
      </c>
      <c r="J185" s="841">
        <f t="shared" si="26"/>
        <v>0</v>
      </c>
    </row>
    <row r="186" spans="1:12" ht="20.25" customHeight="1">
      <c r="A186" s="838">
        <v>4</v>
      </c>
      <c r="B186" s="839" t="s">
        <v>392</v>
      </c>
      <c r="C186" s="838" t="s">
        <v>390</v>
      </c>
      <c r="D186" s="498">
        <f>'Gia_Dcu-Tbi-Vlieu'!$D$44</f>
        <v>600000</v>
      </c>
      <c r="E186" s="845">
        <v>6.0000000000000001E-3</v>
      </c>
      <c r="F186" s="845"/>
      <c r="G186" s="845"/>
      <c r="H186" s="841">
        <f t="shared" si="24"/>
        <v>3600</v>
      </c>
      <c r="I186" s="841">
        <f t="shared" si="25"/>
        <v>0</v>
      </c>
      <c r="J186" s="841">
        <f t="shared" si="26"/>
        <v>0</v>
      </c>
    </row>
    <row r="187" spans="1:12" ht="20.25" customHeight="1">
      <c r="A187" s="838">
        <v>5</v>
      </c>
      <c r="B187" s="839" t="s">
        <v>393</v>
      </c>
      <c r="C187" s="838" t="s">
        <v>390</v>
      </c>
      <c r="D187" s="498">
        <f>'Gia_Dcu-Tbi-Vlieu'!$D$45</f>
        <v>351000</v>
      </c>
      <c r="E187" s="845">
        <v>1.2E-2</v>
      </c>
      <c r="F187" s="845"/>
      <c r="G187" s="845"/>
      <c r="H187" s="841">
        <f t="shared" si="24"/>
        <v>4212</v>
      </c>
      <c r="I187" s="841">
        <f t="shared" si="25"/>
        <v>0</v>
      </c>
      <c r="J187" s="841">
        <f t="shared" si="26"/>
        <v>0</v>
      </c>
    </row>
    <row r="188" spans="1:12" ht="20.25" customHeight="1">
      <c r="A188" s="838">
        <v>6</v>
      </c>
      <c r="B188" s="839" t="s">
        <v>395</v>
      </c>
      <c r="C188" s="838" t="s">
        <v>396</v>
      </c>
      <c r="D188" s="498">
        <f>'Gia_Dcu-Tbi-Vlieu'!$D$48</f>
        <v>64000</v>
      </c>
      <c r="E188" s="845">
        <v>0.09</v>
      </c>
      <c r="F188" s="845"/>
      <c r="G188" s="845"/>
      <c r="H188" s="841">
        <f t="shared" si="24"/>
        <v>5760</v>
      </c>
      <c r="I188" s="841">
        <f t="shared" si="25"/>
        <v>0</v>
      </c>
      <c r="J188" s="841">
        <f t="shared" si="26"/>
        <v>0</v>
      </c>
    </row>
    <row r="189" spans="1:12" s="15" customFormat="1" ht="20.25" customHeight="1">
      <c r="A189" s="438"/>
      <c r="B189" s="448" t="s">
        <v>580</v>
      </c>
      <c r="C189" s="438"/>
      <c r="D189" s="449"/>
      <c r="E189" s="508"/>
      <c r="F189" s="508"/>
      <c r="G189" s="509">
        <v>1</v>
      </c>
      <c r="H189" s="450">
        <f>SUM(H183:H188)*$G189</f>
        <v>15597</v>
      </c>
      <c r="I189" s="450">
        <f>SUM(I183:I188)*$G189</f>
        <v>0</v>
      </c>
      <c r="J189" s="450">
        <f>SUM(J183:J188)*$G189</f>
        <v>0</v>
      </c>
    </row>
    <row r="190" spans="1:12" ht="20.25" customHeight="1">
      <c r="A190" s="838"/>
      <c r="B190" s="1592" t="s">
        <v>435</v>
      </c>
      <c r="C190" s="1516"/>
      <c r="D190" s="1516"/>
      <c r="E190" s="1516"/>
      <c r="F190" s="1516"/>
      <c r="G190" s="1516"/>
      <c r="H190" s="841"/>
      <c r="I190" s="841"/>
      <c r="J190" s="841"/>
    </row>
    <row r="191" spans="1:12" ht="31.5" customHeight="1">
      <c r="A191" s="838"/>
      <c r="B191" s="1589" t="s">
        <v>333</v>
      </c>
      <c r="C191" s="1589"/>
      <c r="D191" s="1589"/>
      <c r="E191" s="864"/>
      <c r="F191" s="864"/>
      <c r="G191" s="864"/>
      <c r="H191" s="841"/>
      <c r="I191" s="841"/>
      <c r="J191" s="841"/>
    </row>
    <row r="192" spans="1:12" ht="31.5" customHeight="1">
      <c r="A192" s="838"/>
      <c r="B192" s="1589" t="s">
        <v>490</v>
      </c>
      <c r="C192" s="1589"/>
      <c r="D192" s="1589"/>
      <c r="E192" s="864">
        <v>0.8</v>
      </c>
      <c r="F192" s="864"/>
      <c r="G192" s="864"/>
      <c r="H192" s="841">
        <f>E192*H$189</f>
        <v>12477.6</v>
      </c>
      <c r="I192" s="841"/>
      <c r="J192" s="841"/>
    </row>
    <row r="193" spans="1:10" ht="31.5" customHeight="1">
      <c r="A193" s="838"/>
      <c r="B193" s="1589" t="s">
        <v>491</v>
      </c>
      <c r="C193" s="1589"/>
      <c r="D193" s="1589"/>
      <c r="E193" s="864">
        <v>0.65</v>
      </c>
      <c r="F193" s="864"/>
      <c r="G193" s="864"/>
      <c r="H193" s="841">
        <f>E193*H$189</f>
        <v>10138.050000000001</v>
      </c>
      <c r="I193" s="841"/>
      <c r="J193" s="841"/>
    </row>
    <row r="194" spans="1:10" ht="31.5" customHeight="1">
      <c r="A194" s="838"/>
      <c r="B194" s="1589" t="s">
        <v>492</v>
      </c>
      <c r="C194" s="1589"/>
      <c r="D194" s="1589"/>
      <c r="E194" s="851">
        <v>0.5</v>
      </c>
      <c r="F194" s="851"/>
      <c r="G194" s="851"/>
      <c r="H194" s="841">
        <f>E194*H$189</f>
        <v>7798.5</v>
      </c>
      <c r="I194" s="841"/>
      <c r="J194" s="841"/>
    </row>
  </sheetData>
  <mergeCells count="58">
    <mergeCell ref="E31:H31"/>
    <mergeCell ref="B28:D28"/>
    <mergeCell ref="B192:D192"/>
    <mergeCell ref="B182:G182"/>
    <mergeCell ref="B5:G5"/>
    <mergeCell ref="B52:G52"/>
    <mergeCell ref="B71:G71"/>
    <mergeCell ref="B97:G97"/>
    <mergeCell ref="B160:G160"/>
    <mergeCell ref="B69:J69"/>
    <mergeCell ref="B93:D93"/>
    <mergeCell ref="B94:D94"/>
    <mergeCell ref="B140:G140"/>
    <mergeCell ref="B157:D157"/>
    <mergeCell ref="B115:G115"/>
    <mergeCell ref="B51:D51"/>
    <mergeCell ref="A137:A139"/>
    <mergeCell ref="B137:B139"/>
    <mergeCell ref="C137:C139"/>
    <mergeCell ref="D137:D139"/>
    <mergeCell ref="E137:H137"/>
    <mergeCell ref="B194:D194"/>
    <mergeCell ref="B179:D179"/>
    <mergeCell ref="B180:D180"/>
    <mergeCell ref="B190:G190"/>
    <mergeCell ref="B191:D191"/>
    <mergeCell ref="I137:L137"/>
    <mergeCell ref="I138:J138"/>
    <mergeCell ref="K138:L138"/>
    <mergeCell ref="B178:D178"/>
    <mergeCell ref="B193:D193"/>
    <mergeCell ref="E138:F138"/>
    <mergeCell ref="G138:H138"/>
    <mergeCell ref="B158:D158"/>
    <mergeCell ref="B177:G177"/>
    <mergeCell ref="G32:H32"/>
    <mergeCell ref="I32:J32"/>
    <mergeCell ref="B135:G135"/>
    <mergeCell ref="E32:F32"/>
    <mergeCell ref="B117:G117"/>
    <mergeCell ref="B95:D95"/>
    <mergeCell ref="B34:G34"/>
    <mergeCell ref="A1:J1"/>
    <mergeCell ref="A31:A33"/>
    <mergeCell ref="B31:B33"/>
    <mergeCell ref="C31:C33"/>
    <mergeCell ref="D3:D4"/>
    <mergeCell ref="B26:D26"/>
    <mergeCell ref="B27:D27"/>
    <mergeCell ref="C3:C4"/>
    <mergeCell ref="D31:D33"/>
    <mergeCell ref="A3:A4"/>
    <mergeCell ref="B3:B4"/>
    <mergeCell ref="E3:G3"/>
    <mergeCell ref="H3:J3"/>
    <mergeCell ref="H2:I2"/>
    <mergeCell ref="I31:L31"/>
    <mergeCell ref="K32:L32"/>
  </mergeCells>
  <printOptions horizontalCentered="1"/>
  <pageMargins left="0.39370078740157499" right="0.196850393700787" top="0.39" bottom="0.45" header="0.18" footer="0.196850393700787"/>
  <pageSetup paperSize="9" firstPageNumber="103" orientation="landscape" useFirstPageNumber="1"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14</vt:i4>
      </vt:variant>
    </vt:vector>
  </HeadingPairs>
  <TitlesOfParts>
    <vt:vector size="29" baseType="lpstr">
      <vt:lpstr>Gia_Dcu-Tbi-Vlieu</vt:lpstr>
      <vt:lpstr>Chung-thu</vt:lpstr>
      <vt:lpstr>L_CBac</vt:lpstr>
      <vt:lpstr>L_CViec</vt:lpstr>
      <vt:lpstr>NCong</vt:lpstr>
      <vt:lpstr>Dcu</vt:lpstr>
      <vt:lpstr>Tbi</vt:lpstr>
      <vt:lpstr>VLieu</vt:lpstr>
      <vt:lpstr>DGSP_ChiTiet</vt:lpstr>
      <vt:lpstr>DGSP_RutGon</vt:lpstr>
      <vt:lpstr>So-sanh</vt:lpstr>
      <vt:lpstr>NCong (In 1)</vt:lpstr>
      <vt:lpstr>NCong (In 2)</vt:lpstr>
      <vt:lpstr>DGSP_ChiTiet (in)</vt:lpstr>
      <vt:lpstr>DGSP SS VỚI 34 </vt:lpstr>
      <vt:lpstr>DGSP_ChiTiet!Print_Area</vt:lpstr>
      <vt:lpstr>DGSP_RutGon!Print_Area</vt:lpstr>
      <vt:lpstr>NCong!Print_Area</vt:lpstr>
      <vt:lpstr>Tbi!Print_Area</vt:lpstr>
      <vt:lpstr>VLieu!Print_Area</vt:lpstr>
      <vt:lpstr>'DGSP SS VỚI 34 '!Print_Titles</vt:lpstr>
      <vt:lpstr>DGSP_ChiTiet!Print_Titles</vt:lpstr>
      <vt:lpstr>'DGSP_ChiTiet (in)'!Print_Titles</vt:lpstr>
      <vt:lpstr>DGSP_RutGon!Print_Titles</vt:lpstr>
      <vt:lpstr>L_CBac!Print_Titles</vt:lpstr>
      <vt:lpstr>NCong!Print_Titles</vt:lpstr>
      <vt:lpstr>'NCong (In 1)'!Print_Titles</vt:lpstr>
      <vt:lpstr>'NCong (In 2)'!Print_Titles</vt:lpstr>
      <vt:lpstr>Tbi!Print_Titles</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DUONG VAN HAI</dc:creator>
  <cp:lastModifiedBy>Dell Precision 7750</cp:lastModifiedBy>
  <cp:lastPrinted>2025-08-23T02:41:41Z</cp:lastPrinted>
  <dcterms:created xsi:type="dcterms:W3CDTF">2002-07-07T11:49:09Z</dcterms:created>
  <dcterms:modified xsi:type="dcterms:W3CDTF">2026-05-19T19:25:13Z</dcterms:modified>
</cp:coreProperties>
</file>